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85" windowWidth="11325" windowHeight="8100" tabRatio="853" firstSheet="8" activeTab="9"/>
  </bookViews>
  <sheets>
    <sheet name="Warning" sheetId="1" r:id="rId1"/>
    <sheet name="WJ III COG" sheetId="2" r:id="rId2"/>
    <sheet name="Discrepancy" sheetId="3" r:id="rId3"/>
    <sheet name="COG H L" sheetId="4" r:id="rId4"/>
    <sheet name="WJ III COG Chart" sheetId="5" r:id="rId5"/>
    <sheet name="WJ III Cog Profiles" sheetId="6" r:id="rId6"/>
    <sheet name="WJ III Cog RPI" sheetId="7" r:id="rId7"/>
    <sheet name="Cog. Grps by Lvl" sheetId="8" r:id="rId8"/>
    <sheet name="CHC Diag. Wrksht" sheetId="9" r:id="rId9"/>
    <sheet name="WJ III ACH" sheetId="10" r:id="rId10"/>
    <sheet name="WJ III ACH Chart" sheetId="11" r:id="rId11"/>
    <sheet name="WJ III Ach Profiles" sheetId="12" r:id="rId12"/>
    <sheet name="WJ III ACH RPI" sheetId="13" r:id="rId13"/>
    <sheet name="Ach. Grps by Lvl" sheetId="14" r:id="rId14"/>
    <sheet name="Test combos" sheetId="15" r:id="rId15"/>
    <sheet name="Task Analysis" sheetId="16" r:id="rId16"/>
  </sheets>
  <externalReferences>
    <externalReference r:id="rId19"/>
  </externalReferences>
  <definedNames>
    <definedName name="__DSAuthor" localSheetId="1" hidden="1">"Dr Ron Dumont"</definedName>
    <definedName name="__DSCreated" localSheetId="1" hidden="1">" September 19, 1991"</definedName>
    <definedName name="__DSRevision" localSheetId="1" hidden="1">1.3</definedName>
    <definedName name="__DSSubject" localSheetId="1" hidden="1">"test analysis"</definedName>
    <definedName name="__DSTitle" localSheetId="1" hidden="1">"WISC-III © 1991"</definedName>
    <definedName name="a">'WJ III COG'!$G$9</definedName>
    <definedName name="acid">'WJ III COG'!$AR$9</definedName>
    <definedName name="Age">'WJ III COG'!$I$3</definedName>
    <definedName name="bd">'WJ III COG'!$H$9</definedName>
    <definedName name="cd">'WJ III COG'!$D$9</definedName>
    <definedName name="comp">'WJ III COG'!#REF!</definedName>
    <definedName name="conversion">'WJ III COG'!$B$577:$BG$578</definedName>
    <definedName name="corecount">'WJ III COG'!$AJ$62</definedName>
    <definedName name="Correlation">'WJ III COG'!#REF!</definedName>
    <definedName name="db">'WJ III COG'!$P$9</definedName>
    <definedName name="df">'WJ III COG'!$N$9</definedName>
    <definedName name="ds">'WJ III COG'!$M$9</definedName>
    <definedName name="dsbindex">'WJ III COG'!#REF!</definedName>
    <definedName name="dsfindex">'WJ III COG'!#REF!</definedName>
    <definedName name="fdi">'WJ III COG'!$G$9+'WJ III COG'!$M$9</definedName>
    <definedName name="fdiindex">'WJ III COG'!$B$581:$AL$582</definedName>
    <definedName name="fsrg">'WJ III COG'!$B$547:$AJ$548</definedName>
    <definedName name="fsscat">'WJ III COG'!$AE$7</definedName>
    <definedName name="fssum">SUM('WJ III COG'!$B$9:$H$9)</definedName>
    <definedName name="i">'WJ III COG'!$C$9</definedName>
    <definedName name="level" localSheetId="13">'Ach. Grps by Lvl'!$H$41:$O$42</definedName>
    <definedName name="level">'Cog. Grps by Lvl'!$H$33:$O$34</definedName>
    <definedName name="maxfs">'WJ III COG'!$AE$2</definedName>
    <definedName name="maxp">'WJ III COG'!$AD$2</definedName>
    <definedName name="maxv">'WJ III COG'!$AC$2</definedName>
    <definedName name="minfs">'WJ III COG'!$AE$4</definedName>
    <definedName name="minp">'WJ III COG'!$AD$4</definedName>
    <definedName name="minv">'WJ III COG'!$AC$4</definedName>
    <definedName name="mz">'WJ III COG'!$O$9</definedName>
    <definedName name="oa">'WJ III COG'!#REF!</definedName>
    <definedName name="OLE_LINK2" localSheetId="14">'Test combos'!$B$40</definedName>
    <definedName name="pa">'WJ III COG'!$F$9</definedName>
    <definedName name="pc">'WJ III COG'!$B$9</definedName>
    <definedName name="perf5">'WJ III COG'!$AB$4</definedName>
    <definedName name="perf6">'WJ III COG'!$AB$6</definedName>
    <definedName name="perf7">'WJ III COG'!$AB$8</definedName>
    <definedName name="pf5">'WJ III COG'!$B$9+'WJ III COG'!$D$9+'WJ III COG'!$F$9+'WJ III COG'!$H$9+'WJ III COG'!#REF!</definedName>
    <definedName name="poi">'WJ III COG'!$B$9+'WJ III COG'!$F$9+'WJ III COG'!$H$9+'WJ III COG'!#REF!</definedName>
    <definedName name="poiindex">'WJ III COG'!$A$583:$BQ$584</definedName>
    <definedName name="prg">'WJ III COG'!$B$551:$Q$552</definedName>
    <definedName name="_xlnm.Print_Area" localSheetId="13">'Ach. Grps by Lvl'!$A$4:$D$12</definedName>
    <definedName name="_xlnm.Print_Area" localSheetId="8">'CHC Diag. Wrksht'!$B$3:$M$24</definedName>
    <definedName name="_xlnm.Print_Area" localSheetId="3">'COG H L'!$A$1:$G$31</definedName>
    <definedName name="_xlnm.Print_Area" localSheetId="7">'Cog. Grps by Lvl'!$A$1:$D$23</definedName>
    <definedName name="_xlnm.Print_Area" localSheetId="2">'Discrepancy'!$A$2:$M$29</definedName>
    <definedName name="_xlnm.Print_Area" localSheetId="15">'Task Analysis'!$A$4:$F$125</definedName>
    <definedName name="_xlnm.Print_Area" localSheetId="14">'Test combos'!$A$1:$H$84</definedName>
    <definedName name="_xlnm.Print_Area" localSheetId="9">'WJ III ACH'!$A$2:$L$185</definedName>
    <definedName name="_xlnm.Print_Area" localSheetId="11">'WJ III Ach Profiles'!$A$1:$G$106</definedName>
    <definedName name="_xlnm.Print_Area" localSheetId="12">'WJ III ACH RPI'!$A$1:$G$39</definedName>
    <definedName name="_xlnm.Print_Area" localSheetId="1">'WJ III COG'!$A$2:$M$217</definedName>
    <definedName name="_xlnm.Print_Area" localSheetId="5">'WJ III Cog Profiles'!$A$1:$I$46</definedName>
    <definedName name="_xlnm.Print_Area" localSheetId="6">'WJ III Cog RPI'!$A$1:$I$48</definedName>
    <definedName name="pscat">'WJ III COG'!$AD$7</definedName>
    <definedName name="psi">'WJ III COG'!$D$9+'WJ III COG'!#REF!</definedName>
    <definedName name="psindex">'WJ III COG'!$B$579:$AL$580</definedName>
    <definedName name="RAbility">'WJ III COG'!#REF!</definedName>
    <definedName name="RAchieve">'WJ III COG'!#REF!</definedName>
    <definedName name="rpilevel">'Cog. Grps by Lvl'!$H$53:$L$54</definedName>
    <definedName name="s">'WJ III COG'!$E$9</definedName>
    <definedName name="shform">'WJ III COG'!$AR$8</definedName>
    <definedName name="ss">'WJ III COG'!#REF!</definedName>
    <definedName name="ssclass">'WJ III COG'!$T$480:$X$481</definedName>
    <definedName name="sumall">'COG H L'!$I$4</definedName>
    <definedName name="v">'WJ III COG'!#REF!</definedName>
    <definedName name="vb5">'WJ III COG'!$C$9+'WJ III COG'!$E$9+'WJ III COG'!$G$9+'WJ III COG'!#REF!+'WJ III COG'!#REF!</definedName>
    <definedName name="vci">'WJ III COG'!$C$9+'WJ III COG'!$E$9+'WJ III COG'!#REF!+'WJ III COG'!#REF!</definedName>
    <definedName name="vcon">'WJ III COG'!$F$24</definedName>
    <definedName name="verb5">'WJ III COG'!$AB$2</definedName>
    <definedName name="verb6">'WJ III COG'!$AB$3</definedName>
    <definedName name="voiindex">'WJ III COG'!$A$585:$BU$586</definedName>
    <definedName name="vp">'WJ III COG'!#REF!</definedName>
    <definedName name="vpdiff">'WJ III COG'!$B$537:$V$538</definedName>
    <definedName name="vrg">'WJ III COG'!$B$549:$P$550</definedName>
    <definedName name="vscat">'WJ III COG'!$AC$7</definedName>
  </definedNames>
  <calcPr fullCalcOnLoad="1"/>
</workbook>
</file>

<file path=xl/sharedStrings.xml><?xml version="1.0" encoding="utf-8"?>
<sst xmlns="http://schemas.openxmlformats.org/spreadsheetml/2006/main" count="1091" uniqueCount="672">
  <si>
    <t>Verbal Comprehension</t>
  </si>
  <si>
    <r>
      <t>If</t>
    </r>
    <r>
      <rPr>
        <b/>
        <sz val="8"/>
        <rFont val="Garamond"/>
        <family val="1"/>
      </rPr>
      <t xml:space="preserve"> [the following test pattern], </t>
    </r>
    <r>
      <rPr>
        <b/>
        <u val="single"/>
        <sz val="8"/>
        <rFont val="Garamond"/>
        <family val="1"/>
      </rPr>
      <t>consider</t>
    </r>
    <r>
      <rPr>
        <b/>
        <sz val="8"/>
        <rFont val="Garamond"/>
        <family val="1"/>
      </rPr>
      <t>…</t>
    </r>
  </si>
  <si>
    <r>
      <t xml:space="preserve">Analysis of multiple attributes of a problem to </t>
    </r>
    <r>
      <rPr>
        <i/>
        <sz val="8"/>
        <rFont val="Garamond"/>
        <family val="1"/>
      </rPr>
      <t>infer the rule</t>
    </r>
    <r>
      <rPr>
        <sz val="8"/>
        <rFont val="Garamond"/>
        <family val="1"/>
      </rPr>
      <t xml:space="preserve"> governing its organization (inductive logic) (CF)</t>
    </r>
  </si>
  <si>
    <r>
      <t xml:space="preserve">Use of </t>
    </r>
    <r>
      <rPr>
        <i/>
        <sz val="8"/>
        <rFont val="Garamond"/>
        <family val="1"/>
      </rPr>
      <t>given rules</t>
    </r>
    <r>
      <rPr>
        <sz val="8"/>
        <rFont val="Garamond"/>
        <family val="1"/>
      </rPr>
      <t xml:space="preserve"> (i.e., a code) to solve a problem (deductive logic) (AS)</t>
    </r>
  </si>
  <si>
    <r>
      <t>…weakness in procedural knowledge and skills despite ability to follow a procedure and use deductive reasoning</t>
    </r>
    <r>
      <rPr>
        <i/>
        <sz val="8"/>
        <rFont val="Garamond"/>
        <family val="1"/>
      </rPr>
      <t>(Check amount and  type of prior instruction)</t>
    </r>
  </si>
  <si>
    <r>
      <t xml:space="preserve">…difficulty with visual scanning </t>
    </r>
    <r>
      <rPr>
        <i/>
        <sz val="8"/>
        <rFont val="Garamond"/>
        <family val="1"/>
      </rPr>
      <t>(Consider ocular-motor functioning)</t>
    </r>
  </si>
  <si>
    <r>
      <t xml:space="preserve">…difficulty with mental visualization of numbers </t>
    </r>
    <r>
      <rPr>
        <i/>
        <sz val="8"/>
        <rFont val="Garamond"/>
        <family val="1"/>
      </rPr>
      <t>(Analyze items on AWM to see if errors were solely, or mostly, on repetition of numbers, rather than things.)</t>
    </r>
  </si>
  <si>
    <r>
      <t xml:space="preserve">…poor reading comprehension </t>
    </r>
    <r>
      <rPr>
        <i/>
        <sz val="8"/>
        <rFont val="Garamond"/>
        <family val="1"/>
      </rPr>
      <t>(RF might be strong or weak</t>
    </r>
    <r>
      <rPr>
        <sz val="8"/>
        <rFont val="Garamond"/>
        <family val="1"/>
      </rPr>
      <t>)</t>
    </r>
  </si>
  <si>
    <r>
      <t xml:space="preserve">…limited word attack skills creates dependence on whole word reading </t>
    </r>
    <r>
      <rPr>
        <i/>
        <sz val="8"/>
        <rFont val="Garamond"/>
        <family val="1"/>
      </rPr>
      <t>(may limit future sight word acquisition)</t>
    </r>
  </si>
  <si>
    <r>
      <t xml:space="preserve">…substitution of inefficient strategies for procedural knowledge and facts produces average or better score. </t>
    </r>
    <r>
      <rPr>
        <i/>
        <sz val="8"/>
        <rFont val="Garamond"/>
        <family val="1"/>
      </rPr>
      <t>(Consider limited understanding of foundational concepts in math, procedural knowledge, and acquired math knowledge.)</t>
    </r>
  </si>
  <si>
    <t>Concept Formation (I)</t>
  </si>
  <si>
    <t>* Percentile rank, Confidence intervals, and Classification Ranges are estimates.  Please check the COMPUSCORE print out for actual results.</t>
  </si>
  <si>
    <t xml:space="preserve">    accuracy in reading single words aloud from a list</t>
  </si>
  <si>
    <t>Letter-Word Identification ACH</t>
  </si>
  <si>
    <t xml:space="preserve">    accuracy in reading nonsense words aloud (phonetic word attack)</t>
  </si>
  <si>
    <t>Word Attack ACH</t>
  </si>
  <si>
    <t xml:space="preserve">    speed of reading sentences and answering "yes" or "no" to each</t>
  </si>
  <si>
    <t xml:space="preserve">    reading vocabulary: antonyms, synonyms, and analogies</t>
  </si>
  <si>
    <t>Reading Vocabulary ACH</t>
  </si>
  <si>
    <t xml:space="preserve">    passage comprehension: supplying missing words in sentencesPassage</t>
  </si>
  <si>
    <t>Comprehension ACH</t>
  </si>
  <si>
    <t>Oral Vocabulary</t>
  </si>
  <si>
    <t xml:space="preserve">     picture vocabulary: pointing to named pictures and naming pictures</t>
  </si>
  <si>
    <t>Picture Vocabulary ACH</t>
  </si>
  <si>
    <t xml:space="preserve">     verbal comprehension: naming pictures, synonyms, antonyms, &amp; analogies</t>
  </si>
  <si>
    <t>Verbal Comprehension COG</t>
  </si>
  <si>
    <t>Oral vs. Reading Comparisons</t>
  </si>
  <si>
    <t xml:space="preserve">     reading vocabulary: antonyms, synonyms, and analogies</t>
  </si>
  <si>
    <t xml:space="preserve">     supplying the missing word in each dictated sentence or paragraph</t>
  </si>
  <si>
    <t>Oral Comprehension ACH</t>
  </si>
  <si>
    <t xml:space="preserve">     passage comprehension: supplying missing words in sentences</t>
  </si>
  <si>
    <t>Passage Comprehension ACH</t>
  </si>
  <si>
    <t>Rebus Learning</t>
  </si>
  <si>
    <t xml:space="preserve">     learning and "reading" rebus symbols for words</t>
  </si>
  <si>
    <t>Visual-Auditory Learning COG</t>
  </si>
  <si>
    <t xml:space="preserve">     "reading" the previously learned rebus symbols xx later on surprise retest</t>
  </si>
  <si>
    <t>VAL Delayed Recall COG</t>
  </si>
  <si>
    <t>Phonological and RAN Tests</t>
  </si>
  <si>
    <t xml:space="preserve">     identifying words dictated with sounds separated (k - a - t = cat)</t>
  </si>
  <si>
    <t>Sound Blending COG</t>
  </si>
  <si>
    <t xml:space="preserve">     identifying words dictated with sounds omitted (my row own = microphone)</t>
  </si>
  <si>
    <t>Incomplete Words COG</t>
  </si>
  <si>
    <t xml:space="preserve">     sound awareness: rhyming, deletion, substitution, and reversal</t>
  </si>
  <si>
    <t>Sound Awareness ACH</t>
  </si>
  <si>
    <t xml:space="preserve">     speed of naming things in three specific categories for one minute each</t>
  </si>
  <si>
    <t>Long-term Retrieval (Glr):</t>
  </si>
  <si>
    <t>Visual Processing (Gv):</t>
  </si>
  <si>
    <t>Auditory Processing (Ga):</t>
  </si>
  <si>
    <t>Fluid Reasoning (Gf):</t>
  </si>
  <si>
    <t>Processing Speed (Gs):</t>
  </si>
  <si>
    <t>Short-Term Memory (Gsm):</t>
  </si>
  <si>
    <t>Clinical Clusters</t>
  </si>
  <si>
    <t>Thinking Abilities</t>
  </si>
  <si>
    <t>Fluid Reasoning</t>
  </si>
  <si>
    <t>Comp.-Knowledge</t>
  </si>
  <si>
    <t>INPUT</t>
  </si>
  <si>
    <t>Retrieval Fluency COG</t>
  </si>
  <si>
    <t xml:space="preserve">     speed of naming simple pictures of familiar objects</t>
  </si>
  <si>
    <t>Rapid Picture Naming COG</t>
  </si>
  <si>
    <t>Nonsense or Low-Frequency Words</t>
  </si>
  <si>
    <t xml:space="preserve">     accuracy in reading nonsense words aloud (phonetic word attack)</t>
  </si>
  <si>
    <t xml:space="preserve">     spelling of sounds: writing dictated nonsense words</t>
  </si>
  <si>
    <t>Spelling of Sounds ACH</t>
  </si>
  <si>
    <t>Real vs. Nonsense or Low-Frequency Words</t>
  </si>
  <si>
    <t xml:space="preserve">     spelling: prewriting &amp; writing letters; writing dictated words</t>
  </si>
  <si>
    <t>LWI</t>
  </si>
  <si>
    <t>Rdg Fl</t>
  </si>
  <si>
    <t>Und Dir</t>
  </si>
  <si>
    <t>Calc</t>
  </si>
  <si>
    <t>Math Fl</t>
  </si>
  <si>
    <t>Spl</t>
  </si>
  <si>
    <t>Wrt Fl</t>
  </si>
  <si>
    <t>Pass Comp</t>
  </si>
  <si>
    <t>App Prob</t>
  </si>
  <si>
    <t>Wrt Smpl</t>
  </si>
  <si>
    <t>St Rec</t>
  </si>
  <si>
    <t>Pic Voc</t>
  </si>
  <si>
    <t>Oral Comp</t>
  </si>
  <si>
    <t>Editing</t>
  </si>
  <si>
    <t>Rdg Voc</t>
  </si>
  <si>
    <t>Quant Con</t>
  </si>
  <si>
    <t>Acad Know</t>
  </si>
  <si>
    <t>Spl of Snd</t>
  </si>
  <si>
    <t>Wrd Att</t>
  </si>
  <si>
    <t>Snd Aw</t>
  </si>
  <si>
    <t>Punc/Cap</t>
  </si>
  <si>
    <t>Listening Comprehension</t>
  </si>
  <si>
    <t>Oral Expression</t>
  </si>
  <si>
    <t>Total Achievement</t>
  </si>
  <si>
    <t>Broad Reading</t>
  </si>
  <si>
    <t>Broad Math</t>
  </si>
  <si>
    <t>Broad Written Language</t>
  </si>
  <si>
    <t>Basic Reading Skills</t>
  </si>
  <si>
    <t>Reading Comprehension</t>
  </si>
  <si>
    <t>Math Reasoning</t>
  </si>
  <si>
    <t>Basic Writing Skills</t>
  </si>
  <si>
    <t>Written Expression</t>
  </si>
  <si>
    <t>Academic Skills</t>
  </si>
  <si>
    <t>Academic Fluency</t>
  </si>
  <si>
    <t>Academic Applications</t>
  </si>
  <si>
    <t>Academic Knowledge</t>
  </si>
  <si>
    <t>Phoneme/Grapheme Knowledge</t>
  </si>
  <si>
    <t>Letter Word Identification</t>
  </si>
  <si>
    <t>Reading Fluency</t>
  </si>
  <si>
    <t>Word Attack</t>
  </si>
  <si>
    <t>Reading Vocabulary</t>
  </si>
  <si>
    <t>Story Recall</t>
  </si>
  <si>
    <t>Understanding Directions</t>
  </si>
  <si>
    <t>Picture Vocabulary</t>
  </si>
  <si>
    <t>Oral Comprehension</t>
  </si>
  <si>
    <t>Oral Language</t>
  </si>
  <si>
    <t>Calculations</t>
  </si>
  <si>
    <t>Math Fluency</t>
  </si>
  <si>
    <t>Applied Problems</t>
  </si>
  <si>
    <t>Math Calculation Skills</t>
  </si>
  <si>
    <t>WJ III Cognitive Subtest Standard Scores</t>
  </si>
  <si>
    <t>WJ III Achievement Subtest Standard Scores</t>
  </si>
  <si>
    <t>Standard Score</t>
  </si>
  <si>
    <t>RPI  x/90</t>
  </si>
  <si>
    <t>ss</t>
  </si>
  <si>
    <t>rpi</t>
  </si>
  <si>
    <t xml:space="preserve">Cognitive Fluency </t>
  </si>
  <si>
    <t>(short-term memory, comprehension-knowledge, visual processing, auditory processing, long-term retrieval, fluid reasoning, and processing speed).</t>
  </si>
  <si>
    <t>VAL</t>
  </si>
  <si>
    <t>Snd Bld</t>
  </si>
  <si>
    <t>Con Form</t>
  </si>
  <si>
    <t>Vis M</t>
  </si>
  <si>
    <t>Num Rev</t>
  </si>
  <si>
    <t>Aud Wk M</t>
  </si>
  <si>
    <t>Gen Inf</t>
  </si>
  <si>
    <t>Ret Fl</t>
  </si>
  <si>
    <t>Pic Rec</t>
  </si>
  <si>
    <t>Aud Att</t>
  </si>
  <si>
    <t>An/Syn</t>
  </si>
  <si>
    <t>Dec Spd</t>
  </si>
  <si>
    <t>Mem Wds</t>
  </si>
  <si>
    <t>VAL del</t>
  </si>
  <si>
    <t>VComp</t>
  </si>
  <si>
    <t>Rp Pic Nm</t>
  </si>
  <si>
    <t>Plan</t>
  </si>
  <si>
    <t>Pr Cancel</t>
  </si>
  <si>
    <t>Long term Retrieval:</t>
  </si>
  <si>
    <t>Short-term Memory:</t>
  </si>
  <si>
    <t>Processing Speed:</t>
  </si>
  <si>
    <t>Auditory Processing:</t>
  </si>
  <si>
    <t>Visual Processing:</t>
  </si>
  <si>
    <t>Comprehension-Knowledge:</t>
  </si>
  <si>
    <t>Fluid Reasoning:</t>
  </si>
  <si>
    <t>Oral Language:</t>
  </si>
  <si>
    <t>Clusters:</t>
  </si>
  <si>
    <t>Comprehension-Knowledge (Gc)</t>
  </si>
  <si>
    <t>Short-term Memory (Gsm)</t>
  </si>
  <si>
    <t>Visual Processing (Gv)</t>
  </si>
  <si>
    <t>Auditory Processing (Ga)</t>
  </si>
  <si>
    <t xml:space="preserve">               </t>
  </si>
  <si>
    <t>Fluid Reasoning (Gf)</t>
  </si>
  <si>
    <t>Processing Speed (Gs)</t>
  </si>
  <si>
    <t>SS</t>
  </si>
  <si>
    <t>very low</t>
  </si>
  <si>
    <t>below average</t>
  </si>
  <si>
    <t>average</t>
  </si>
  <si>
    <t>above average</t>
  </si>
  <si>
    <t>superior</t>
  </si>
  <si>
    <t>vp</t>
  </si>
  <si>
    <t>%</t>
  </si>
  <si>
    <t>Vss</t>
  </si>
  <si>
    <t>VIQ</t>
  </si>
  <si>
    <t>Pss</t>
  </si>
  <si>
    <t>PIQ</t>
  </si>
  <si>
    <t>Fss</t>
  </si>
  <si>
    <t>FIQ</t>
  </si>
  <si>
    <t>fsrg 12 sub.</t>
  </si>
  <si>
    <t>vrg 6 sub.</t>
  </si>
  <si>
    <t>prg 6 sub.</t>
  </si>
  <si>
    <t>Very Low</t>
  </si>
  <si>
    <t>Low</t>
  </si>
  <si>
    <t>Low Average</t>
  </si>
  <si>
    <t>Average</t>
  </si>
  <si>
    <t>High Average</t>
  </si>
  <si>
    <t>Superior</t>
  </si>
  <si>
    <t>Very Superior</t>
  </si>
  <si>
    <t>vsc</t>
  </si>
  <si>
    <t>vconf-</t>
  </si>
  <si>
    <t>vconf+</t>
  </si>
  <si>
    <t>psc</t>
  </si>
  <si>
    <t>pconf-</t>
  </si>
  <si>
    <t>pconf+</t>
  </si>
  <si>
    <t>fssc</t>
  </si>
  <si>
    <t>fsconf-</t>
  </si>
  <si>
    <t>fsconf+</t>
  </si>
  <si>
    <t>vcisc</t>
  </si>
  <si>
    <t>vciconf-</t>
  </si>
  <si>
    <t>vciconf+</t>
  </si>
  <si>
    <t>poisc</t>
  </si>
  <si>
    <t>poiconf-</t>
  </si>
  <si>
    <t>poiconf+</t>
  </si>
  <si>
    <t>fdsc</t>
  </si>
  <si>
    <t>fdconf-</t>
  </si>
  <si>
    <t>fdconf+</t>
  </si>
  <si>
    <t>pssc</t>
  </si>
  <si>
    <t>psconf-</t>
  </si>
  <si>
    <t>psconf+</t>
  </si>
  <si>
    <t>%conversion</t>
  </si>
  <si>
    <t>%ile</t>
  </si>
  <si>
    <t>psiss</t>
  </si>
  <si>
    <t>psi</t>
  </si>
  <si>
    <t>fdiss</t>
  </si>
  <si>
    <t>fdi</t>
  </si>
  <si>
    <t>poiss</t>
  </si>
  <si>
    <t>poi</t>
  </si>
  <si>
    <t>voiss</t>
  </si>
  <si>
    <t>voi</t>
  </si>
  <si>
    <t>digit length</t>
  </si>
  <si>
    <t>df%</t>
  </si>
  <si>
    <t>db%</t>
  </si>
  <si>
    <t>age</t>
  </si>
  <si>
    <t>dfage</t>
  </si>
  <si>
    <t>bdage</t>
  </si>
  <si>
    <t>PV vs OV</t>
  </si>
  <si>
    <t>PV vs LC</t>
  </si>
  <si>
    <t>MFS vs NRev</t>
  </si>
  <si>
    <t>MFW vs NRev</t>
  </si>
  <si>
    <t>VCl vs PRec</t>
  </si>
  <si>
    <t>IncW vs SBld</t>
  </si>
  <si>
    <t>IncW vs SPatt</t>
  </si>
  <si>
    <t>SBld vs SPatt</t>
  </si>
  <si>
    <t>A/S vs CF</t>
  </si>
  <si>
    <t>A/S vs SpRel</t>
  </si>
  <si>
    <t>A/S vs VAnal</t>
  </si>
  <si>
    <t>CF vs SpRel</t>
  </si>
  <si>
    <t>CF vs VAnal</t>
  </si>
  <si>
    <t>MFN vs VAL</t>
  </si>
  <si>
    <t>MFN vs D-MFN</t>
  </si>
  <si>
    <t>VAL vs D-VAL</t>
  </si>
  <si>
    <t>VM vs CO</t>
  </si>
  <si>
    <t>Long-term Retrieval (Glr)</t>
  </si>
  <si>
    <t>Memory for Words (MS)</t>
  </si>
  <si>
    <t xml:space="preserve">General Intellectual Ability (Extended Scale) is a measure of overall intellectual functioning based on an average of seven different cognitive abilities </t>
  </si>
  <si>
    <t>Phonemic Awareness</t>
  </si>
  <si>
    <t>Phonemic Awareness:</t>
  </si>
  <si>
    <t>Phonemic Awareness III:</t>
  </si>
  <si>
    <t>Broad Attention:</t>
  </si>
  <si>
    <t>Cognitive Fluency:</t>
  </si>
  <si>
    <t>Executive Processes:</t>
  </si>
  <si>
    <t>Knowledge:</t>
  </si>
  <si>
    <t>Verbal Comprehension (LK, LD)</t>
  </si>
  <si>
    <t>Numbers Reversed (MW)</t>
  </si>
  <si>
    <t>Auditory Working memory (MW)</t>
  </si>
  <si>
    <t>Spatial Relations (VZ, SR)</t>
  </si>
  <si>
    <t>Planning (Rs)</t>
  </si>
  <si>
    <t>Sound Blending (PC-S)</t>
  </si>
  <si>
    <t>Incomplete Words (PC-A)</t>
  </si>
  <si>
    <t>Visual-Auditory Learning (MA)</t>
  </si>
  <si>
    <t>Retrieval Fluency (FI)</t>
  </si>
  <si>
    <t>Rapid Picture Naming (NA)</t>
  </si>
  <si>
    <t>Pair Cancellation (AC)</t>
  </si>
  <si>
    <t>Picture Recognition (MV)</t>
  </si>
  <si>
    <t>Analysis-Synthesis (RG)</t>
  </si>
  <si>
    <t>Visual Matching (P)</t>
  </si>
  <si>
    <t>Decision Speed (RA)</t>
  </si>
  <si>
    <t>CHC Factors</t>
  </si>
  <si>
    <t>Working Memory</t>
  </si>
  <si>
    <t>Broad Attention</t>
  </si>
  <si>
    <t>Auditory Working Memory (MW)</t>
  </si>
  <si>
    <t>Working Memory:</t>
  </si>
  <si>
    <t>Auditory Attention (UR, US)</t>
  </si>
  <si>
    <t>Cognitive Fluency</t>
  </si>
  <si>
    <t>Executive Processes</t>
  </si>
  <si>
    <t>Delayed Recall</t>
  </si>
  <si>
    <t>V-A Learning Delayed (MA)</t>
  </si>
  <si>
    <t>Story Recall Delayed (ACH test)</t>
  </si>
  <si>
    <t>Knowledge</t>
  </si>
  <si>
    <t>Academic Knowledge (ACH test)</t>
  </si>
  <si>
    <t>Comprehension-Knowledge (Gc):</t>
  </si>
  <si>
    <t>Spelling ACH</t>
  </si>
  <si>
    <t xml:space="preserve">     accuracy in reading single words aloud from a list</t>
  </si>
  <si>
    <t>Reading Fluency ACH</t>
  </si>
  <si>
    <t>Some Interesting Reading/Spelling Measures and Comparisons from the WJ III®</t>
  </si>
  <si>
    <t>General Information (K0)</t>
  </si>
  <si>
    <t>VAL del z</t>
  </si>
  <si>
    <t>St Rec Del z</t>
  </si>
  <si>
    <t>Woodcock-Johnson III by Richard W. Woodcock, Kevin S. McGrew, and Nancy Mather © Riverside Publishing, 2001. All Rights Reserved</t>
  </si>
  <si>
    <t>Rank*</t>
  </si>
  <si>
    <t>Interval*</t>
  </si>
  <si>
    <t>Range*</t>
  </si>
  <si>
    <t>RPI</t>
  </si>
  <si>
    <t>97/90+</t>
  </si>
  <si>
    <t>75/90</t>
  </si>
  <si>
    <t>25/74</t>
  </si>
  <si>
    <t>0/3</t>
  </si>
  <si>
    <t>Advanced</t>
  </si>
  <si>
    <t>Limited</t>
  </si>
  <si>
    <t>Very Limited</t>
  </si>
  <si>
    <t xml:space="preserve"> 4/24</t>
  </si>
  <si>
    <t xml:space="preserve">Working Memory </t>
  </si>
  <si>
    <t>Developmental level</t>
  </si>
  <si>
    <t>Age Appropriate</t>
  </si>
  <si>
    <t>Extreme Delay</t>
  </si>
  <si>
    <t>Moderate Delay</t>
  </si>
  <si>
    <t>Mild Delay</t>
  </si>
  <si>
    <t>Within Normal Limits</t>
  </si>
  <si>
    <t>Mild Impairment</t>
  </si>
  <si>
    <t>Moderate Impairment</t>
  </si>
  <si>
    <t>Proficiency Level</t>
  </si>
  <si>
    <t>Functional Level</t>
  </si>
  <si>
    <t>Developmental Level</t>
  </si>
  <si>
    <t>4/24</t>
  </si>
  <si>
    <t>Severe Impairment</t>
  </si>
  <si>
    <t>low</t>
  </si>
  <si>
    <t>sem</t>
  </si>
  <si>
    <t>200-leftover</t>
  </si>
  <si>
    <t>Negligible</t>
  </si>
  <si>
    <t>Facilitator - Inhibitors</t>
  </si>
  <si>
    <t>Stores of Acquired Knowledge</t>
  </si>
  <si>
    <t>Information Processing Loop</t>
  </si>
  <si>
    <t>Cognitive Efficiency</t>
  </si>
  <si>
    <t>Long-term Retrieval</t>
  </si>
  <si>
    <t>Auditory Processing</t>
  </si>
  <si>
    <t>Visual Processing</t>
  </si>
  <si>
    <t>Short-term Memory</t>
  </si>
  <si>
    <t>Processing Speed</t>
  </si>
  <si>
    <t>**Factors in red, double border cells are from the clinical clusters.</t>
  </si>
  <si>
    <t>Very low</t>
  </si>
  <si>
    <t>121-130</t>
  </si>
  <si>
    <t>111-120</t>
  </si>
  <si>
    <t>90-110</t>
  </si>
  <si>
    <t>80-89</t>
  </si>
  <si>
    <t>70-79</t>
  </si>
  <si>
    <t>55-69</t>
  </si>
  <si>
    <t>&lt;55</t>
  </si>
  <si>
    <t>Cognitive Performance and Clinical Clusters</t>
  </si>
  <si>
    <t>&gt;130</t>
  </si>
  <si>
    <t xml:space="preserve">Broad Attention </t>
  </si>
  <si>
    <t xml:space="preserve">Verbal Ability </t>
  </si>
  <si>
    <t xml:space="preserve">Executive Processes </t>
  </si>
  <si>
    <t xml:space="preserve">GIA </t>
  </si>
  <si>
    <t xml:space="preserve">Thinking Ability </t>
  </si>
  <si>
    <t xml:space="preserve">Cognitive Efficiency </t>
  </si>
  <si>
    <t xml:space="preserve">Phonemic Awareness </t>
  </si>
  <si>
    <t>Broad Clusters</t>
  </si>
  <si>
    <t>Basic Skills and Application Clusters</t>
  </si>
  <si>
    <t xml:space="preserve">Oral Language </t>
  </si>
  <si>
    <t xml:space="preserve">Oral Expression </t>
  </si>
  <si>
    <t xml:space="preserve">Listening Comprehension </t>
  </si>
  <si>
    <t xml:space="preserve">Total Achievement </t>
  </si>
  <si>
    <t xml:space="preserve">Broad Reading </t>
  </si>
  <si>
    <t xml:space="preserve">Broad Math </t>
  </si>
  <si>
    <t xml:space="preserve">Broad Written Language </t>
  </si>
  <si>
    <t xml:space="preserve">Basic Reading Skills </t>
  </si>
  <si>
    <t xml:space="preserve">Reading Comprehension </t>
  </si>
  <si>
    <t xml:space="preserve">Math Calculations Skills </t>
  </si>
  <si>
    <t xml:space="preserve">Math Reasoning </t>
  </si>
  <si>
    <t xml:space="preserve">Basic Writing Skills </t>
  </si>
  <si>
    <t xml:space="preserve">Written Expression </t>
  </si>
  <si>
    <t xml:space="preserve">Academic Skills </t>
  </si>
  <si>
    <t xml:space="preserve">Academic Fluency </t>
  </si>
  <si>
    <t xml:space="preserve">Academic Applications </t>
  </si>
  <si>
    <t xml:space="preserve">Academic Knowledge </t>
  </si>
  <si>
    <t xml:space="preserve">Phoneme/Grapheme Knowledge </t>
  </si>
  <si>
    <t>Quantitative Concepts</t>
  </si>
  <si>
    <t>Spelling</t>
  </si>
  <si>
    <t>Writing Samples</t>
  </si>
  <si>
    <t>Spelling of Sounds</t>
  </si>
  <si>
    <t>Writing Fluency</t>
  </si>
  <si>
    <t>Passage Comprehension</t>
  </si>
  <si>
    <t>Reading</t>
  </si>
  <si>
    <t>Math</t>
  </si>
  <si>
    <t>Written Language</t>
  </si>
  <si>
    <t>Other Clusters</t>
  </si>
  <si>
    <t>GIA</t>
  </si>
  <si>
    <t>Name:</t>
  </si>
  <si>
    <t>Age (yr.m):</t>
  </si>
  <si>
    <t>Date analyzed:</t>
  </si>
  <si>
    <t>Inc W</t>
  </si>
  <si>
    <t>o to sev</t>
  </si>
  <si>
    <t>sev to four</t>
  </si>
  <si>
    <t>Sp Rel</t>
  </si>
  <si>
    <t>fif to tt</t>
  </si>
  <si>
    <t>Obtained</t>
  </si>
  <si>
    <t>Percentile</t>
  </si>
  <si>
    <t xml:space="preserve">Confidence </t>
  </si>
  <si>
    <t>Classification</t>
  </si>
  <si>
    <t>Score</t>
  </si>
  <si>
    <t>fourteen</t>
  </si>
  <si>
    <t xml:space="preserve">     barely meaningful numbers</t>
  </si>
  <si>
    <t>Numbers Reversed COG</t>
  </si>
  <si>
    <t xml:space="preserve">     individually meaningful words in sequence but no context</t>
  </si>
  <si>
    <t>Memory for Words COG</t>
  </si>
  <si>
    <t xml:space="preserve">     meaningful stories with context</t>
  </si>
  <si>
    <t>Story Recall ACH</t>
  </si>
  <si>
    <t xml:space="preserve">     rapid retrieval</t>
  </si>
  <si>
    <t xml:space="preserve">Rapid Picture Naming COG short-term     </t>
  </si>
  <si>
    <t xml:space="preserve">     learning and retrieval</t>
  </si>
  <si>
    <t xml:space="preserve">     intermediate-term retrieval</t>
  </si>
  <si>
    <t>VAL-Delayed COG</t>
  </si>
  <si>
    <t xml:space="preserve">     intermediate-term retrieval – meaningful with context</t>
  </si>
  <si>
    <t xml:space="preserve">Story Recall-Delayed ACH               </t>
  </si>
  <si>
    <t xml:space="preserve">     long-term retrieval fluency</t>
  </si>
  <si>
    <t xml:space="preserve">     long-term retrieval capacity</t>
  </si>
  <si>
    <t>General Information COG</t>
  </si>
  <si>
    <t xml:space="preserve">                  [NB: it is retrieval only </t>
  </si>
  <si>
    <t>Academic Knowledge ACH</t>
  </si>
  <si>
    <t xml:space="preserve">                   if the examinee knew</t>
  </si>
  <si>
    <t xml:space="preserve">                   it initially.]</t>
  </si>
  <si>
    <t xml:space="preserve">     working memory</t>
  </si>
  <si>
    <t>Auditory Working Memory COG</t>
  </si>
  <si>
    <t xml:space="preserve">     attention, concentration, sequencing, language processing, and memory</t>
  </si>
  <si>
    <t>Understanding Directions ACH</t>
  </si>
  <si>
    <t xml:space="preserve">     visual memory</t>
  </si>
  <si>
    <t>Picture Recognition COG</t>
  </si>
  <si>
    <t>Different Aspects of  Memory</t>
  </si>
  <si>
    <t>Analysis-Synthesis COG</t>
  </si>
  <si>
    <t xml:space="preserve">     deriving rules from examples</t>
  </si>
  <si>
    <t>Concept Formation COG</t>
  </si>
  <si>
    <t>Auditory Attention COG</t>
  </si>
  <si>
    <t xml:space="preserve">     blending sounds into words without background noise</t>
  </si>
  <si>
    <t xml:space="preserve">     recognizing words with sounds missing without background noise</t>
  </si>
  <si>
    <t xml:space="preserve">     various phonemic tasks without background noise</t>
  </si>
  <si>
    <t xml:space="preserve">     retrieving difficult picture names without time pressure</t>
  </si>
  <si>
    <t xml:space="preserve">     retrieving easy picture names with time pressure</t>
  </si>
  <si>
    <t xml:space="preserve">     retrieving words without picture cues</t>
  </si>
  <si>
    <t xml:space="preserve">     mixed task with and without pictures and without time pressure</t>
  </si>
  <si>
    <t xml:space="preserve">     retrieving recently-learned picture names with picture cues</t>
  </si>
  <si>
    <t xml:space="preserve">     retrieving recently-learned picture names with picture cues after a delay</t>
  </si>
  <si>
    <t xml:space="preserve">     applying mathematical reasoning processes without actual arithmetic</t>
  </si>
  <si>
    <t xml:space="preserve">     applying mathematical reasoning processes requiring accurate arithmetic</t>
  </si>
  <si>
    <t>Applied Problems ACH</t>
  </si>
  <si>
    <t>Academic Skills Cluster ACH</t>
  </si>
  <si>
    <t xml:space="preserve">     speed and facility of recall of academic skills</t>
  </si>
  <si>
    <t>Academic Fluency Cluster ACH</t>
  </si>
  <si>
    <t xml:space="preserve">     high-level, conceptual abilities and comprehension</t>
  </si>
  <si>
    <t>Academic Applications Cluster ACH</t>
  </si>
  <si>
    <r>
      <t xml:space="preserve">     </t>
    </r>
    <r>
      <rPr>
        <sz val="8"/>
        <rFont val="Arial"/>
        <family val="2"/>
      </rPr>
      <t>following and applying rules that are provided</t>
    </r>
  </si>
  <si>
    <r>
      <t xml:space="preserve">     </t>
    </r>
    <r>
      <rPr>
        <sz val="8"/>
        <rFont val="Arial"/>
        <family val="2"/>
      </rPr>
      <t>perceiving speech sounds against background noise</t>
    </r>
  </si>
  <si>
    <r>
      <t xml:space="preserve">     </t>
    </r>
    <r>
      <rPr>
        <sz val="8"/>
        <rFont val="Arial"/>
        <family val="2"/>
      </rPr>
      <t>basic skills, requiring learning and recall of facts and rules</t>
    </r>
  </si>
  <si>
    <r>
      <t xml:space="preserve">Many of these comparisons are drawn from the much more comprehensive and detailed Task Analysis and Comparisons of Selected Tests in the highly recommended  N. Mather &amp; L. Jaffe, </t>
    </r>
    <r>
      <rPr>
        <i/>
        <sz val="11"/>
        <rFont val="Times New Roman"/>
        <family val="1"/>
      </rPr>
      <t xml:space="preserve">Woodcock-Johnson III: Recommendations, reports, and strategies </t>
    </r>
    <r>
      <rPr>
        <sz val="11"/>
        <rFont val="Times New Roman"/>
        <family val="1"/>
      </rPr>
      <t>(New York: Wiley, in press).  Be the first kid on your block to buy this book.</t>
    </r>
  </si>
  <si>
    <r>
      <t>The essential concept is to look for differences between tests that "ought to" yield similar scores: tests that share the same Broad CHC Ability (or even more, the same Broad and Narrow CHC abilities), tests in the same WJ III category or cluster, tests with similar formats.  Mather and Jaffe (in press) provide a compare-and-contrast table with groups of tests for which they list ways that they are alike and ways that they are different (familiar to Stanford-Binet L-M fans) and suggest "possible implications of differences."  It is prudent to schedule an additional test session so that you can follow up possibilities (using the table above until Mather and Jaffe's book is published) revealed when, late at night, you score the tests you gave earlier.</t>
    </r>
    <r>
      <rPr>
        <sz val="10"/>
        <rFont val="Times New Roman"/>
        <family val="1"/>
      </rPr>
      <t xml:space="preserve">  </t>
    </r>
  </si>
  <si>
    <r>
      <t xml:space="preserve">Consider also, testing the limits.  For example, you do not want to report that Ecomodine is deficient in arithmetic operations when her problem was actually observing operation signs.  You might want to rewrite the missed problems on scratch paper and have her try them again the next day with reminders and bribes to pay attention to the operations signs.  The resulting score would </t>
    </r>
    <r>
      <rPr>
        <b/>
        <i/>
        <u val="single"/>
        <sz val="11"/>
        <rFont val="Times New Roman"/>
        <family val="1"/>
      </rPr>
      <t>not</t>
    </r>
    <r>
      <rPr>
        <sz val="11"/>
        <rFont val="Times New Roman"/>
        <family val="1"/>
      </rPr>
      <t xml:space="preserve"> be reportable as a valid score, but it would prevent making the wrong recommendation. Which problems could she have done with a calculator?  Bring one and find out.</t>
    </r>
  </si>
  <si>
    <t>See Lynne Jaffe and Jan Smith's sections on special accommodations (Woodcock, McGrew, &amp; Mather, 2001a, pp. 37-48; Woodcock, McGrew, &amp; Mather, 2001b, pp. 34-46), which include tables listing and explaining tests appropriate for persons with various disabilities and disadvantages.</t>
  </si>
  <si>
    <r>
      <t xml:space="preserve">See also N. Mather &amp; S. Goldstein, </t>
    </r>
    <r>
      <rPr>
        <i/>
        <sz val="11"/>
        <rFont val="Times New Roman"/>
        <family val="1"/>
      </rPr>
      <t>Learning disabilities and challenging behaviors: A guide to intervention and classroom management</t>
    </r>
    <r>
      <rPr>
        <sz val="11"/>
        <rFont val="Times New Roman"/>
        <family val="1"/>
      </rPr>
      <t xml:space="preserve"> (Baltimore: Paul Brookes, 2001) and S. Goldstein &amp; N. Mather,  </t>
    </r>
    <r>
      <rPr>
        <i/>
        <sz val="11"/>
        <rFont val="Times New Roman"/>
        <family val="1"/>
      </rPr>
      <t>Overcoming underachievement: An action guide to helping your child succeed in school.</t>
    </r>
    <r>
      <rPr>
        <sz val="11"/>
        <rFont val="Times New Roman"/>
        <family val="1"/>
      </rPr>
      <t xml:space="preserve">  (New York: Wiley, 1998) for additional remedial strategies.</t>
    </r>
  </si>
  <si>
    <t>Auditory Perception</t>
  </si>
  <si>
    <t>Vocabulary Retrieval</t>
  </si>
  <si>
    <t>Mathematical Reasoning</t>
  </si>
  <si>
    <t>Academic Achievement</t>
  </si>
  <si>
    <t>Tasks Analysis Comparisons of Some Tests of the WJ III™</t>
  </si>
  <si>
    <t>From: Mather, N., &amp; Jaffe, L. E. (in press). Woodcock-Johnson III: Recommendations, reports, and strategies. NY: John Wiley &amp; Sons.</t>
  </si>
  <si>
    <t>Tests</t>
  </si>
  <si>
    <t>Similarities</t>
  </si>
  <si>
    <t>Differences</t>
  </si>
  <si>
    <t>Retrieval of single words from long-term storage</t>
  </si>
  <si>
    <t>Concept Formation</t>
  </si>
  <si>
    <t>Problem solving with new procedures</t>
  </si>
  <si>
    <t>Analysis-Synthesis</t>
  </si>
  <si>
    <t>Logical reasoning</t>
  </si>
  <si>
    <t>Learning task with corrective feedback</t>
  </si>
  <si>
    <t>Ability to hold and work with multiple elements of a problem</t>
  </si>
  <si>
    <t>Application of rules and procedures</t>
  </si>
  <si>
    <t>Calculation</t>
  </si>
  <si>
    <t>Deductive reasoning</t>
  </si>
  <si>
    <t>Visual Matching</t>
  </si>
  <si>
    <t>Decision Speed</t>
  </si>
  <si>
    <t>Pair Cancellation</t>
  </si>
  <si>
    <t>Inclusion of numbers in test content</t>
  </si>
  <si>
    <t>Numbers Reversed</t>
  </si>
  <si>
    <t>Auditory Working Memory</t>
  </si>
  <si>
    <t>Memory for Words</t>
  </si>
  <si>
    <t>Short-term memory of unrelated stimuli (i.e., single words, numbers)</t>
  </si>
  <si>
    <t>Comprehension of meaningful sentences</t>
  </si>
  <si>
    <t>Letter-Word Identification</t>
  </si>
  <si>
    <t>Sound Awareness</t>
  </si>
  <si>
    <t>Sound Blending</t>
  </si>
  <si>
    <t>Comprehension of connected discourse</t>
  </si>
  <si>
    <t>Possible Implications</t>
  </si>
  <si>
    <t>Retrieval of simple name (PV)</t>
  </si>
  <si>
    <t>Retrieval of words based on associations and reasoning (VC)</t>
  </si>
  <si>
    <t>Picture Vocabulary &gt; Verbal Comprehension or both low</t>
  </si>
  <si>
    <t>…limited breadth and depth of vocabulary knowledge</t>
  </si>
  <si>
    <t>…difficulties with word retrieval</t>
  </si>
  <si>
    <t>Picture Vocabulary &gt; Verbal Comprehension:</t>
  </si>
  <si>
    <t>…limited flexibility of word comprehension and usage</t>
  </si>
  <si>
    <t>Less linguistic complexity (PV)</t>
  </si>
  <si>
    <t>More linguistic complexity (VC)</t>
  </si>
  <si>
    <t>Retrieval Fluency</t>
  </si>
  <si>
    <t>Rapid Picture Naming</t>
  </si>
  <si>
    <t>Retrieval of a specific word (RPN, PV)</t>
  </si>
  <si>
    <t>Broader choice of acceptable responses (RF)</t>
  </si>
  <si>
    <t>Retrieval Fluency &gt; Rapid Picture Naming &amp; Picture Vocabulary</t>
  </si>
  <si>
    <t>…difficulty with specificity of word retrieval (finding a specific word)</t>
  </si>
  <si>
    <t>Retrieval Fluency &amp; Picture Vocabulary &gt; Rapid Picture Naming</t>
  </si>
  <si>
    <t>…difficulty with automaticity of word retrieval (finding a specific word fast)</t>
  </si>
  <si>
    <t>Picture Vocabulary &amp; Rapid Picture Naming &gt; Retrieval Fluency</t>
  </si>
  <si>
    <t xml:space="preserve">…difficulty with self-generation of multiple responses </t>
  </si>
  <si>
    <t>…lack of strategy use in generating multiple responses (e.g., thinking of animals by habitat)</t>
  </si>
  <si>
    <t>Time constraint (RF, RPN)</t>
  </si>
  <si>
    <t>No time constraint (PV)</t>
  </si>
  <si>
    <t>Words are well-established in long-term storage (RF, RPN)</t>
  </si>
  <si>
    <t>Words are less familiar or not known (PV)</t>
  </si>
  <si>
    <t>Retrieval of words from a picture prompt (RPN, PV)</t>
  </si>
  <si>
    <t>Retrieval of words without a picture prompt (RF)</t>
  </si>
  <si>
    <t>Incomplete Words</t>
  </si>
  <si>
    <t xml:space="preserve">Phonemic awareness </t>
  </si>
  <si>
    <t>Trainable skills (SB, SA)</t>
  </si>
  <si>
    <t>Less trainable skill (IW)</t>
  </si>
  <si>
    <t>Sound Blending &amp; Sound Awareness &gt; Incomplete Words</t>
  </si>
  <si>
    <t>…weakness in auditory closure</t>
  </si>
  <si>
    <t>(Consider possibility of prior training in phonemic awareness with lesser innate ability)</t>
  </si>
  <si>
    <t>Low Sound Blending and Sound Awareness</t>
  </si>
  <si>
    <t>…undeveloped phonemic awareness skills</t>
  </si>
  <si>
    <t>Sound Blending &gt; Sound Awareness</t>
  </si>
  <si>
    <t>…difficulties with more advanced phonemic awareness skills (depends on age of student)</t>
  </si>
  <si>
    <t>(Informally check ability to segment words into sounds; analyze errors on SA for level of breakdown)</t>
  </si>
  <si>
    <t>Directly related to basic reading skills (SB, SA)</t>
  </si>
  <si>
    <t xml:space="preserve">Less well-established relation to reading skills (IW) </t>
  </si>
  <si>
    <t>Requires advanced skills (deletion, substitution, transposition, reversal) (SA)</t>
  </si>
  <si>
    <t>Requires more basic skills (blending) (SB)</t>
  </si>
  <si>
    <t xml:space="preserve">Sound Awareness </t>
  </si>
  <si>
    <t>Auditory Attention</t>
  </si>
  <si>
    <t>Require speech sound discrimination</t>
  </si>
  <si>
    <t>Perception of individual speech sounds and sequence (intentional) (SB, SA)</t>
  </si>
  <si>
    <t>Detection of speech sounds (automatic) (AA)</t>
  </si>
  <si>
    <t>Sound Blending, Sound Awareness &gt; Auditory Attention or all low</t>
  </si>
  <si>
    <t xml:space="preserve">…poor hearing acuity and/or speech discrimination </t>
  </si>
  <si>
    <t>Stimuli presented in quiet conditions (SB, SA)</t>
  </si>
  <si>
    <t>Stimuli presented in adverse auditory condition (AA)</t>
  </si>
  <si>
    <t>Increase in complexity</t>
  </si>
  <si>
    <t>Analysis-Synthesis &gt; Concept Formation</t>
  </si>
  <si>
    <t>…limited ability to hold in awareness and work with multiple attributes of a problem simultaneously</t>
  </si>
  <si>
    <t>…limited flexibility in problem solving</t>
  </si>
  <si>
    <t>Concept Formation &gt; Analysis-Synthesis</t>
  </si>
  <si>
    <t xml:space="preserve">…difficulty with application of rules or procedures </t>
  </si>
  <si>
    <t>Ability to hold many pieces of information in mind at once (simultaneous processing) (CF)</t>
  </si>
  <si>
    <t>Ability to move step by step through a mental process (sequential processing) (AS)</t>
  </si>
  <si>
    <t>Rule changes with each problem (CF)</t>
  </si>
  <si>
    <t>Rules and method of solution (use of code) stay constant (AS)</t>
  </si>
  <si>
    <t>Ability to apply inductive reasoning, including categorization of critical elements</t>
  </si>
  <si>
    <t>Minimal need for knowledge of numeric concepts and procedures (CF)</t>
  </si>
  <si>
    <t>Strong need for knowledge of numeric concepts and procedures (AP)</t>
  </si>
  <si>
    <t>Concept Formation &amp; Applied Problems low</t>
  </si>
  <si>
    <t>…weakness in basic reasoning and conceptual foundation for math, contributing to inability to see the logical relationships among the elements</t>
  </si>
  <si>
    <t>Concept Formation &gt; Applied Problems</t>
  </si>
  <si>
    <t>…limited math knowledge, but good reasoning</t>
  </si>
  <si>
    <t>(Check amount and type of prior instruction)</t>
  </si>
  <si>
    <t>Minimal need for knowledge of numeric concepts and procedures (AS)</t>
  </si>
  <si>
    <t>Strong need for knowledge of numeric concepts and procedures (C)</t>
  </si>
  <si>
    <t>Analysis-Synthesis &amp; Calculation low</t>
  </si>
  <si>
    <t>…weakness in procedural knowledge and difficulty with application of rules</t>
  </si>
  <si>
    <t>Analysis-Synthesis &gt; Calculation</t>
  </si>
  <si>
    <t>Rapid visual scanning</t>
  </si>
  <si>
    <t xml:space="preserve">Rapid visual processing </t>
  </si>
  <si>
    <t>Response mode</t>
  </si>
  <si>
    <t>Picture stimuli (DS, PC)</t>
  </si>
  <si>
    <t>Number/symbol stimuli (VM)</t>
  </si>
  <si>
    <t>Visual Matching, Decision Speed, &amp; Pair Cancellation all low</t>
  </si>
  <si>
    <t>…slow processing speed</t>
  </si>
  <si>
    <t>Decision Speed &amp; Pair Cancellation &gt; Visual Matching</t>
  </si>
  <si>
    <t>…poor symbol discrimination</t>
  </si>
  <si>
    <t>…lack of familiarity with numbers</t>
  </si>
  <si>
    <t>Numbers held in memory (NR, AWM)</t>
  </si>
  <si>
    <t>Numbers constant on page (VM, C, MF)</t>
  </si>
  <si>
    <t>Visual Matching, Calculation, Math Fluency &gt; Numbers Reversed, Auditory Working Memory</t>
  </si>
  <si>
    <t>…weakness in working memory</t>
  </si>
  <si>
    <t>Visual Matching, Numbers Reversed, Auditory Working Memory &gt; Calculation, Math Fluency</t>
  </si>
  <si>
    <t>…limited knowledge and/or ability to apply math concepts and procedures</t>
  </si>
  <si>
    <t>Numbers used for non-mathematical purpose (NR, AWM, VM)</t>
  </si>
  <si>
    <t>Requires math knowledge (C, MF)</t>
  </si>
  <si>
    <t>Number stimuli (NR, AWM)</t>
  </si>
  <si>
    <t>Word stimuli (MW, AWM)</t>
  </si>
  <si>
    <t>All low</t>
  </si>
  <si>
    <t>…weakness in short-term memory</t>
  </si>
  <si>
    <t>Memory for Words &gt; Numbers Reversed (&amp; Auditory Working Memory—problem solely with number repetition)</t>
  </si>
  <si>
    <t>…difficulty visualizing numbers</t>
  </si>
  <si>
    <t>Memory for Words &gt; Numbers Reversed &gt; Auditory Working Memory</t>
  </si>
  <si>
    <t>…difficulty in working memory corresponding to task complexity</t>
  </si>
  <si>
    <t>Higher demands on working memory (NR, AWM)</t>
  </si>
  <si>
    <t>Lower demands on working memory (MW)</t>
  </si>
  <si>
    <t>Critical elements share a meaningful linguistic context (SR, OC)</t>
  </si>
  <si>
    <t>Critical elements are minimally related by meaning (UD)</t>
  </si>
  <si>
    <t>Oral Comprehension &amp; Story Recall &gt; Understanding Directions</t>
  </si>
  <si>
    <t>…difficulty holding critical elements in memory outside of a cohesive meaningful context</t>
  </si>
  <si>
    <t>…difficulty comprehending and/or holding in memory complex syntax and multiple linguistic concepts (e.g., spatial, temporal, conditional)</t>
  </si>
  <si>
    <t>Understanding Directions &amp; Oral Comprehension &gt; Story Recall</t>
  </si>
  <si>
    <t>…weakness in organization of story elements in memory</t>
  </si>
  <si>
    <t>Comprehension and memory of syntax supported by meaning (SR, OC)</t>
  </si>
  <si>
    <t>Comprehension and short-term memory of syntax not supported by meaning (UD)</t>
  </si>
  <si>
    <t>Mode of response: verbal: single word (OC)</t>
  </si>
  <si>
    <t>verbal: phrases, sentences (SR)</t>
  </si>
  <si>
    <t>Mode of response: pointing, nonverbal (UD)</t>
  </si>
  <si>
    <t>Oral stimuli (listening) (OC, SR)</t>
  </si>
  <si>
    <t>Written stimuli (reading) (PC)</t>
  </si>
  <si>
    <t>Oral Comprehension &amp; Story Recall &gt; Passage Comprehension</t>
  </si>
  <si>
    <t>…difficulty with reading decoding</t>
  </si>
  <si>
    <t>…limited comprehension of oral language</t>
  </si>
  <si>
    <t>Require skills in word attack and sight word acquisition</t>
  </si>
  <si>
    <t xml:space="preserve">Reading decoding (WA, LWI, RF, PC) </t>
  </si>
  <si>
    <t>Reading comprehension (RF, PC)</t>
  </si>
  <si>
    <t>Word Attack &amp; Letter-Word Identification &gt; Passage Comprehension</t>
  </si>
  <si>
    <t>Word Attack &gt; Letter-Word Identification, Retrieval Fluency, Passage Comprehension</t>
  </si>
  <si>
    <t>…poor sight word acquisition impairs fluency and comprehension.</t>
  </si>
  <si>
    <t>Letter-Word Identification &gt; Word Attack</t>
  </si>
  <si>
    <t xml:space="preserve">…limited decoding (word attack and sight words) as a major factor in weak fluency and comprehension </t>
  </si>
  <si>
    <t>Require accurate retrieval of math facts</t>
  </si>
  <si>
    <t>Require under-standing of basic math concepts</t>
  </si>
  <si>
    <t>Knowledge of algorithms (C)</t>
  </si>
  <si>
    <t>Knowledge of simple facts (MF)</t>
  </si>
  <si>
    <t>Math reasoning (AP)</t>
  </si>
  <si>
    <t>Applied Problems &gt; Calculation &amp; Math Fluency</t>
  </si>
  <si>
    <t>…weakness in procedural knowledge but good reasoning</t>
  </si>
  <si>
    <t>(Look for inefficient and compensatory strategies)</t>
  </si>
  <si>
    <t>Math Fluency &amp; Calculation &gt; Applied Problems</t>
  </si>
  <si>
    <t xml:space="preserve">…weakness in math reasoning </t>
  </si>
  <si>
    <t>Calculation &gt; Math Fluency, Applied Problems, Quantitative Concepts</t>
  </si>
  <si>
    <t>…weakness in foundational concepts in math, procedural knowledge, and acquired math knowledge</t>
  </si>
  <si>
    <t>sum all</t>
  </si>
  <si>
    <t>Predicted Score</t>
  </si>
  <si>
    <t>Diff</t>
  </si>
  <si>
    <t>Estimated z</t>
  </si>
  <si>
    <t>H/L (15 pt diff)</t>
  </si>
  <si>
    <t>WJ III Cognitive Clusters</t>
  </si>
  <si>
    <t>Subtest (Diff 15)</t>
  </si>
  <si>
    <t>WJ III GIA-Std/WJ III COGNITIVE CLUSTER DISCREPANCY CALCULATION WORSKSHEET</t>
  </si>
  <si>
    <t>Name</t>
  </si>
  <si>
    <t>Age</t>
  </si>
  <si>
    <t>Actual Cluster score</t>
  </si>
  <si>
    <t>Predicted Cluster Score</t>
  </si>
  <si>
    <t>SS Difference (+ or -)</t>
  </si>
  <si>
    <t>SEE</t>
  </si>
  <si>
    <t>Discrepancy SD (+ or -)</t>
  </si>
  <si>
    <t>-</t>
  </si>
  <si>
    <t>=</t>
  </si>
  <si>
    <t>/</t>
  </si>
  <si>
    <t>% of Population with WJ III Discrepancy</t>
  </si>
  <si>
    <t>&lt;1</t>
  </si>
  <si>
    <t>The only sheets that require any user input are the WJ III COG and the WJ III ACH sheets.</t>
  </si>
  <si>
    <t>These template sheets come with some scores already entered into cells.</t>
  </si>
  <si>
    <t>Be sure to delete any scores that do not pertain to your particular case.</t>
  </si>
  <si>
    <t>We (Ron Dumont and John Willis) and Riverside Publishing, take no responsibility for any errors made while using these templates.</t>
  </si>
  <si>
    <t>These scores act as placeholders and demonstrate what scores are necessary.</t>
  </si>
  <si>
    <t>Vis Cl</t>
  </si>
  <si>
    <t>Mem Nm</t>
  </si>
  <si>
    <t>Snd P-V</t>
  </si>
  <si>
    <t>Num S</t>
  </si>
  <si>
    <t>Num M</t>
  </si>
  <si>
    <t>Cr Out</t>
  </si>
  <si>
    <t>Mem S</t>
  </si>
  <si>
    <t>Blk Rot</t>
  </si>
  <si>
    <t>Snd P-M</t>
  </si>
  <si>
    <t>Thinking Ability (LV)</t>
  </si>
  <si>
    <t>Visual Spatial Thinking (Gv):</t>
  </si>
  <si>
    <t>Visual Spatial Thinking 3 (Gv3):</t>
  </si>
  <si>
    <t>Fluid Reasoning 3 (Gf3):</t>
  </si>
  <si>
    <t>Numerical Reasoning</t>
  </si>
  <si>
    <t>Numerical Reasoning:</t>
  </si>
  <si>
    <t>Associative Memory:</t>
  </si>
  <si>
    <t>Visualization:</t>
  </si>
  <si>
    <t>Sound Discrimination:</t>
  </si>
  <si>
    <t>Auditory Memory Span:</t>
  </si>
  <si>
    <t>Perceptual Speed:</t>
  </si>
  <si>
    <t>Visual Closure (CS)</t>
  </si>
  <si>
    <t>Number Matrices (RQ)</t>
  </si>
  <si>
    <t>Associative Memory</t>
  </si>
  <si>
    <t>Visualization</t>
  </si>
  <si>
    <t>Sound Discrimination</t>
  </si>
  <si>
    <t>Auditory Memory Span</t>
  </si>
  <si>
    <t>Perceptual Speed</t>
  </si>
  <si>
    <t>Number Series (RQ)</t>
  </si>
  <si>
    <t>Memory  for Names (MA)</t>
  </si>
  <si>
    <t>Block Rotation (VZ, SR)</t>
  </si>
  <si>
    <t>Sound Patterns -Music (SD)</t>
  </si>
  <si>
    <t>Sound Patterns -Voice (SD)</t>
  </si>
  <si>
    <t>Memory for Sentences (MS)</t>
  </si>
  <si>
    <t>Cross Out (P)</t>
  </si>
  <si>
    <t>WJ III GIA-Std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</si>
</sst>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
    <numFmt numFmtId="165" formatCode="0.0"/>
    <numFmt numFmtId="166" formatCode="0.00000"/>
    <numFmt numFmtId="167" formatCode="0.0000"/>
    <numFmt numFmtId="168" formatCode="0.000"/>
    <numFmt numFmtId="169" formatCode="&quot;Yes&quot;;&quot;Yes&quot;;&quot;No&quot;"/>
    <numFmt numFmtId="170" formatCode="&quot;True&quot;;&quot;True&quot;;&quot;False&quot;"/>
    <numFmt numFmtId="171" formatCode="&quot;On&quot;;&quot;On&quot;;&quot;Off&quot;"/>
    <numFmt numFmtId="172" formatCode="[$€-2]\ #,##0.00_);[Red]\([$€-2]\ #,##0.00\)"/>
  </numFmts>
  <fonts count="103">
    <font>
      <sz val="10"/>
      <name val="Geneva"/>
      <family val="0"/>
    </font>
    <font>
      <b/>
      <sz val="10"/>
      <name val="Geneva"/>
      <family val="0"/>
    </font>
    <font>
      <i/>
      <sz val="10"/>
      <name val="Geneva"/>
      <family val="0"/>
    </font>
    <font>
      <b/>
      <i/>
      <sz val="10"/>
      <name val="Geneva"/>
      <family val="0"/>
    </font>
    <font>
      <sz val="12"/>
      <color indexed="8"/>
      <name val="Geneva"/>
      <family val="0"/>
    </font>
    <font>
      <sz val="8"/>
      <name val="Geneva"/>
      <family val="0"/>
    </font>
    <font>
      <sz val="8"/>
      <name val="Arial"/>
      <family val="2"/>
    </font>
    <font>
      <b/>
      <sz val="8"/>
      <name val="Arial"/>
      <family val="2"/>
    </font>
    <font>
      <b/>
      <i/>
      <sz val="8"/>
      <color indexed="8"/>
      <name val="Arial"/>
      <family val="2"/>
    </font>
    <font>
      <b/>
      <u val="single"/>
      <sz val="8"/>
      <name val="Arial"/>
      <family val="2"/>
    </font>
    <font>
      <u val="single"/>
      <sz val="10"/>
      <color indexed="12"/>
      <name val="Geneva"/>
      <family val="0"/>
    </font>
    <font>
      <sz val="48"/>
      <name val="Arial"/>
      <family val="2"/>
    </font>
    <font>
      <b/>
      <i/>
      <sz val="11"/>
      <name val="Arial"/>
      <family val="2"/>
    </font>
    <font>
      <b/>
      <i/>
      <sz val="12"/>
      <name val="Arial"/>
      <family val="2"/>
    </font>
    <font>
      <sz val="18"/>
      <name val="Arial"/>
      <family val="2"/>
    </font>
    <font>
      <b/>
      <sz val="8"/>
      <name val="Geneva"/>
      <family val="0"/>
    </font>
    <font>
      <b/>
      <sz val="11"/>
      <name val="Arial"/>
      <family val="2"/>
    </font>
    <font>
      <b/>
      <sz val="14"/>
      <name val="Arial"/>
      <family val="2"/>
    </font>
    <font>
      <b/>
      <i/>
      <sz val="14"/>
      <name val="Arial"/>
      <family val="2"/>
    </font>
    <font>
      <sz val="9"/>
      <name val="Arial"/>
      <family val="2"/>
    </font>
    <font>
      <b/>
      <sz val="9"/>
      <color indexed="16"/>
      <name val="Arial"/>
      <family val="2"/>
    </font>
    <font>
      <b/>
      <sz val="9"/>
      <name val="Arial"/>
      <family val="2"/>
    </font>
    <font>
      <sz val="10"/>
      <color indexed="9"/>
      <name val="Geneva"/>
      <family val="0"/>
    </font>
    <font>
      <b/>
      <sz val="10"/>
      <color indexed="9"/>
      <name val="Geneva"/>
      <family val="0"/>
    </font>
    <font>
      <sz val="8"/>
      <color indexed="56"/>
      <name val="Geneva"/>
      <family val="0"/>
    </font>
    <font>
      <sz val="10"/>
      <color indexed="10"/>
      <name val="Geneva"/>
      <family val="0"/>
    </font>
    <font>
      <sz val="10"/>
      <name val="Arial"/>
      <family val="2"/>
    </font>
    <font>
      <sz val="10"/>
      <color indexed="9"/>
      <name val="Arial"/>
      <family val="2"/>
    </font>
    <font>
      <sz val="8"/>
      <color indexed="10"/>
      <name val="Arial"/>
      <family val="2"/>
    </font>
    <font>
      <sz val="10"/>
      <color indexed="10"/>
      <name val="Arial"/>
      <family val="2"/>
    </font>
    <font>
      <sz val="8"/>
      <color indexed="9"/>
      <name val="Arial"/>
      <family val="2"/>
    </font>
    <font>
      <b/>
      <sz val="8"/>
      <color indexed="16"/>
      <name val="Arial"/>
      <family val="2"/>
    </font>
    <font>
      <sz val="8"/>
      <color indexed="9"/>
      <name val="Geneva"/>
      <family val="0"/>
    </font>
    <font>
      <sz val="10"/>
      <name val="Times New Roman"/>
      <family val="1"/>
    </font>
    <font>
      <sz val="11"/>
      <name val="Times New Roman"/>
      <family val="1"/>
    </font>
    <font>
      <i/>
      <sz val="11"/>
      <name val="Times New Roman"/>
      <family val="1"/>
    </font>
    <font>
      <b/>
      <i/>
      <u val="single"/>
      <sz val="11"/>
      <name val="Times New Roman"/>
      <family val="1"/>
    </font>
    <font>
      <sz val="14"/>
      <color indexed="16"/>
      <name val="Geneva"/>
      <family val="0"/>
    </font>
    <font>
      <sz val="8"/>
      <color indexed="16"/>
      <name val="Geneva"/>
      <family val="0"/>
    </font>
    <font>
      <sz val="8"/>
      <name val="Times New Roman"/>
      <family val="1"/>
    </font>
    <font>
      <sz val="8"/>
      <name val="Garamond"/>
      <family val="1"/>
    </font>
    <font>
      <b/>
      <sz val="8"/>
      <name val="Garamond"/>
      <family val="1"/>
    </font>
    <font>
      <b/>
      <u val="single"/>
      <sz val="8"/>
      <name val="Garamond"/>
      <family val="1"/>
    </font>
    <font>
      <u val="single"/>
      <sz val="8"/>
      <name val="Garamond"/>
      <family val="1"/>
    </font>
    <font>
      <sz val="10"/>
      <name val="Garamond"/>
      <family val="1"/>
    </font>
    <font>
      <i/>
      <sz val="8"/>
      <name val="Garamond"/>
      <family val="1"/>
    </font>
    <font>
      <b/>
      <i/>
      <sz val="11"/>
      <name val="Garamond"/>
      <family val="1"/>
    </font>
    <font>
      <sz val="8"/>
      <color indexed="16"/>
      <name val="Garamond"/>
      <family val="1"/>
    </font>
    <font>
      <b/>
      <sz val="14"/>
      <color indexed="16"/>
      <name val="Garamond"/>
      <family val="1"/>
    </font>
    <font>
      <b/>
      <sz val="12"/>
      <color indexed="60"/>
      <name val="Geneva"/>
      <family val="0"/>
    </font>
    <font>
      <b/>
      <sz val="11"/>
      <color indexed="16"/>
      <name val="Geneva"/>
      <family val="0"/>
    </font>
    <font>
      <b/>
      <sz val="16"/>
      <color indexed="60"/>
      <name val="Geneva"/>
      <family val="0"/>
    </font>
    <font>
      <b/>
      <sz val="16"/>
      <color indexed="10"/>
      <name val="Geneva"/>
      <family val="0"/>
    </font>
    <font>
      <sz val="36"/>
      <name val="Arial"/>
      <family val="2"/>
    </font>
    <font>
      <b/>
      <sz val="8"/>
      <color indexed="9"/>
      <name val="Arial"/>
      <family val="2"/>
    </font>
    <font>
      <sz val="10"/>
      <color indexed="8"/>
      <name val="Geneva"/>
      <family val="0"/>
    </font>
    <font>
      <sz val="10"/>
      <color indexed="8"/>
      <name val="Arial"/>
      <family val="0"/>
    </font>
    <font>
      <sz val="8"/>
      <color indexed="8"/>
      <name val="Arial"/>
      <family val="0"/>
    </font>
    <font>
      <sz val="16.75"/>
      <color indexed="8"/>
      <name val="Arial"/>
      <family val="0"/>
    </font>
    <font>
      <sz val="17.75"/>
      <color indexed="8"/>
      <name val="Arial"/>
      <family val="0"/>
    </font>
    <font>
      <sz val="10.75"/>
      <color indexed="8"/>
      <name val="Arial"/>
      <family val="0"/>
    </font>
    <font>
      <sz val="11.75"/>
      <color indexed="8"/>
      <name val="Arial"/>
      <family val="0"/>
    </font>
    <font>
      <sz val="11.25"/>
      <color indexed="8"/>
      <name val="Arial"/>
      <family val="0"/>
    </font>
    <font>
      <sz val="1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Geneva"/>
      <family val="0"/>
    </font>
    <font>
      <b/>
      <sz val="12"/>
      <color indexed="8"/>
      <name val="Geneva"/>
      <family val="0"/>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Geneva"/>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double">
        <color indexed="16"/>
      </left>
      <right>
        <color indexed="63"/>
      </right>
      <top style="double">
        <color indexed="16"/>
      </top>
      <bottom style="double">
        <color indexed="16"/>
      </bottom>
    </border>
    <border>
      <left>
        <color indexed="63"/>
      </left>
      <right style="double">
        <color indexed="16"/>
      </right>
      <top style="double">
        <color indexed="16"/>
      </top>
      <bottom style="double">
        <color indexed="16"/>
      </bottom>
    </border>
    <border>
      <left>
        <color indexed="63"/>
      </left>
      <right>
        <color indexed="63"/>
      </right>
      <top style="double">
        <color indexed="16"/>
      </top>
      <bottom style="double">
        <color indexed="16"/>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10"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267">
    <xf numFmtId="0" fontId="0" fillId="0" borderId="0" xfId="0" applyAlignment="1">
      <alignment/>
    </xf>
    <xf numFmtId="0" fontId="5" fillId="0" borderId="0" xfId="0" applyFont="1" applyAlignment="1">
      <alignment/>
    </xf>
    <xf numFmtId="0" fontId="6" fillId="0" borderId="0" xfId="0" applyFont="1" applyAlignment="1">
      <alignment vertical="center"/>
    </xf>
    <xf numFmtId="0" fontId="6" fillId="0" borderId="0" xfId="0" applyFont="1" applyAlignment="1">
      <alignment/>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Border="1" applyAlignment="1">
      <alignment/>
    </xf>
    <xf numFmtId="0" fontId="6" fillId="0" borderId="0" xfId="0" applyFont="1" applyAlignment="1" applyProtection="1">
      <alignment/>
      <protection hidden="1"/>
    </xf>
    <xf numFmtId="0" fontId="6" fillId="0" borderId="0" xfId="0" applyFont="1" applyBorder="1" applyAlignment="1" applyProtection="1">
      <alignment/>
      <protection hidden="1"/>
    </xf>
    <xf numFmtId="1" fontId="6" fillId="0" borderId="0" xfId="0" applyNumberFormat="1" applyFont="1" applyAlignment="1" applyProtection="1">
      <alignment/>
      <protection hidden="1"/>
    </xf>
    <xf numFmtId="0" fontId="6" fillId="0" borderId="0" xfId="0" applyFont="1" applyFill="1" applyBorder="1" applyAlignment="1" applyProtection="1">
      <alignment/>
      <protection hidden="1"/>
    </xf>
    <xf numFmtId="0" fontId="7" fillId="0" borderId="0" xfId="0" applyFont="1" applyAlignment="1">
      <alignment horizontal="right"/>
    </xf>
    <xf numFmtId="165" fontId="6" fillId="0" borderId="0" xfId="0" applyNumberFormat="1" applyFont="1" applyAlignment="1" applyProtection="1">
      <alignment horizontal="right"/>
      <protection hidden="1"/>
    </xf>
    <xf numFmtId="0" fontId="6" fillId="0" borderId="0" xfId="0" applyFont="1" applyAlignment="1" applyProtection="1">
      <alignment horizontal="center"/>
      <protection hidden="1"/>
    </xf>
    <xf numFmtId="0" fontId="6" fillId="0" borderId="0" xfId="0" applyFont="1" applyBorder="1" applyAlignment="1">
      <alignment horizontal="right"/>
    </xf>
    <xf numFmtId="0" fontId="8" fillId="0" borderId="0" xfId="0" applyFont="1" applyBorder="1" applyAlignment="1">
      <alignment horizontal="centerContinuous"/>
    </xf>
    <xf numFmtId="0" fontId="6" fillId="0" borderId="0" xfId="0" applyFont="1" applyAlignment="1">
      <alignment horizontal="centerContinuous"/>
    </xf>
    <xf numFmtId="0" fontId="6" fillId="0" borderId="0" xfId="0" applyFont="1" applyBorder="1" applyAlignment="1">
      <alignment horizontal="centerContinuous"/>
    </xf>
    <xf numFmtId="0" fontId="6" fillId="0" borderId="0" xfId="0" applyFont="1" applyAlignment="1">
      <alignment horizontal="center"/>
    </xf>
    <xf numFmtId="0" fontId="6" fillId="0" borderId="0" xfId="0" applyFont="1" applyAlignment="1" applyProtection="1">
      <alignment horizontal="right"/>
      <protection hidden="1"/>
    </xf>
    <xf numFmtId="0" fontId="6" fillId="0" borderId="0" xfId="0" applyFont="1" applyBorder="1" applyAlignment="1" applyProtection="1">
      <alignment horizontal="centerContinuous"/>
      <protection hidden="1"/>
    </xf>
    <xf numFmtId="2" fontId="6" fillId="0" borderId="0" xfId="0" applyNumberFormat="1" applyFont="1" applyAlignment="1">
      <alignment/>
    </xf>
    <xf numFmtId="1" fontId="6" fillId="0" borderId="0" xfId="0" applyNumberFormat="1" applyFont="1" applyAlignment="1">
      <alignment/>
    </xf>
    <xf numFmtId="0" fontId="6" fillId="0" borderId="0" xfId="0" applyFont="1" applyAlignment="1">
      <alignment horizontal="right"/>
    </xf>
    <xf numFmtId="0" fontId="6" fillId="0" borderId="0" xfId="0" applyFont="1" applyAlignment="1" applyProtection="1">
      <alignment horizontal="left"/>
      <protection hidden="1"/>
    </xf>
    <xf numFmtId="0" fontId="6" fillId="0" borderId="0" xfId="0" applyFont="1" applyFill="1" applyBorder="1" applyAlignment="1" applyProtection="1">
      <alignment horizontal="center"/>
      <protection hidden="1"/>
    </xf>
    <xf numFmtId="0" fontId="6" fillId="0" borderId="0" xfId="0" applyFont="1" applyFill="1" applyBorder="1" applyAlignment="1" applyProtection="1">
      <alignment horizontal="left"/>
      <protection hidden="1"/>
    </xf>
    <xf numFmtId="0" fontId="6" fillId="0" borderId="0" xfId="0" applyFont="1" applyFill="1" applyBorder="1" applyAlignment="1" applyProtection="1">
      <alignment horizontal="right"/>
      <protection hidden="1"/>
    </xf>
    <xf numFmtId="0" fontId="6" fillId="0" borderId="0" xfId="0" applyFont="1" applyBorder="1" applyAlignment="1" applyProtection="1">
      <alignment horizontal="center"/>
      <protection hidden="1"/>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Alignment="1">
      <alignment horizontal="left"/>
    </xf>
    <xf numFmtId="0" fontId="6" fillId="0" borderId="0" xfId="0" applyFont="1" applyBorder="1" applyAlignment="1" applyProtection="1">
      <alignment horizontal="right"/>
      <protection hidden="1"/>
    </xf>
    <xf numFmtId="1" fontId="6" fillId="0" borderId="0" xfId="0" applyNumberFormat="1" applyFont="1" applyAlignment="1">
      <alignment horizontal="center"/>
    </xf>
    <xf numFmtId="2" fontId="6" fillId="0" borderId="0" xfId="0" applyNumberFormat="1" applyFont="1" applyBorder="1" applyAlignment="1">
      <alignment horizontal="right"/>
    </xf>
    <xf numFmtId="0" fontId="7" fillId="0" borderId="0" xfId="0" applyFont="1" applyAlignment="1">
      <alignment/>
    </xf>
    <xf numFmtId="0" fontId="9" fillId="0" borderId="0" xfId="0" applyFont="1" applyFill="1" applyBorder="1" applyAlignment="1" applyProtection="1">
      <alignment horizontal="right"/>
      <protection hidden="1"/>
    </xf>
    <xf numFmtId="0" fontId="7" fillId="0" borderId="0" xfId="0" applyFont="1" applyFill="1" applyBorder="1" applyAlignment="1" applyProtection="1">
      <alignment horizontal="right"/>
      <protection hidden="1"/>
    </xf>
    <xf numFmtId="0" fontId="9" fillId="0" borderId="0" xfId="0" applyFont="1" applyAlignment="1" applyProtection="1">
      <alignment horizontal="right"/>
      <protection hidden="1"/>
    </xf>
    <xf numFmtId="0" fontId="7" fillId="0" borderId="0" xfId="0" applyFont="1" applyAlignment="1" applyProtection="1">
      <alignment horizontal="right"/>
      <protection hidden="1"/>
    </xf>
    <xf numFmtId="1" fontId="6" fillId="0" borderId="0" xfId="0" applyNumberFormat="1" applyFont="1" applyAlignment="1" applyProtection="1">
      <alignment horizontal="right"/>
      <protection hidden="1"/>
    </xf>
    <xf numFmtId="0" fontId="7" fillId="0" borderId="0" xfId="0" applyFont="1" applyAlignment="1" applyProtection="1">
      <alignment horizontal="center"/>
      <protection hidden="1"/>
    </xf>
    <xf numFmtId="0" fontId="7" fillId="0" borderId="0" xfId="0" applyFont="1" applyAlignment="1">
      <alignment horizontal="center"/>
    </xf>
    <xf numFmtId="0" fontId="6" fillId="0" borderId="0" xfId="0" applyFont="1" applyFill="1" applyBorder="1" applyAlignment="1" applyProtection="1">
      <alignment horizontal="center" vertical="center" wrapText="1"/>
      <protection hidden="1"/>
    </xf>
    <xf numFmtId="0" fontId="6" fillId="33" borderId="0" xfId="0" applyFont="1" applyFill="1" applyAlignment="1">
      <alignment/>
    </xf>
    <xf numFmtId="0" fontId="6" fillId="33" borderId="0" xfId="0" applyFont="1" applyFill="1" applyAlignment="1">
      <alignment horizontal="right"/>
    </xf>
    <xf numFmtId="0" fontId="6" fillId="33" borderId="0" xfId="0" applyFont="1" applyFill="1" applyAlignment="1">
      <alignment horizontal="center"/>
    </xf>
    <xf numFmtId="0" fontId="6" fillId="33" borderId="0" xfId="0" applyFont="1" applyFill="1" applyBorder="1" applyAlignment="1" applyProtection="1">
      <alignment horizontal="center"/>
      <protection hidden="1"/>
    </xf>
    <xf numFmtId="0" fontId="6" fillId="33" borderId="0" xfId="0" applyFont="1" applyFill="1" applyBorder="1" applyAlignment="1" applyProtection="1">
      <alignment horizontal="left"/>
      <protection hidden="1"/>
    </xf>
    <xf numFmtId="0" fontId="6" fillId="33" borderId="0" xfId="0" applyFont="1" applyFill="1" applyBorder="1" applyAlignment="1">
      <alignment/>
    </xf>
    <xf numFmtId="0" fontId="0" fillId="33" borderId="0" xfId="0" applyFill="1" applyAlignment="1">
      <alignment/>
    </xf>
    <xf numFmtId="0" fontId="6" fillId="34" borderId="10" xfId="0" applyFont="1" applyFill="1" applyBorder="1" applyAlignment="1" applyProtection="1">
      <alignment horizontal="center" vertical="center"/>
      <protection locked="0"/>
    </xf>
    <xf numFmtId="165" fontId="6" fillId="34" borderId="10" xfId="0" applyNumberFormat="1" applyFont="1" applyFill="1" applyBorder="1" applyAlignment="1" applyProtection="1">
      <alignment horizontal="center"/>
      <protection locked="0"/>
    </xf>
    <xf numFmtId="164" fontId="6" fillId="34" borderId="10" xfId="0" applyNumberFormat="1" applyFont="1" applyFill="1" applyBorder="1" applyAlignment="1">
      <alignment horizontal="center"/>
    </xf>
    <xf numFmtId="0" fontId="6" fillId="34" borderId="11" xfId="0" applyFont="1" applyFill="1" applyBorder="1" applyAlignment="1" applyProtection="1">
      <alignment horizontal="center"/>
      <protection locked="0"/>
    </xf>
    <xf numFmtId="0" fontId="6" fillId="34" borderId="10" xfId="0" applyFont="1" applyFill="1" applyBorder="1" applyAlignment="1" applyProtection="1">
      <alignment horizontal="center"/>
      <protection locked="0"/>
    </xf>
    <xf numFmtId="1" fontId="6" fillId="34" borderId="10" xfId="0" applyNumberFormat="1" applyFont="1" applyFill="1" applyBorder="1" applyAlignment="1" applyProtection="1">
      <alignment horizontal="center"/>
      <protection locked="0"/>
    </xf>
    <xf numFmtId="0" fontId="6" fillId="34" borderId="12" xfId="0" applyFont="1" applyFill="1" applyBorder="1" applyAlignment="1" applyProtection="1">
      <alignment horizontal="center"/>
      <protection locked="0"/>
    </xf>
    <xf numFmtId="164" fontId="6" fillId="0" borderId="0" xfId="0" applyNumberFormat="1" applyFont="1" applyFill="1" applyBorder="1" applyAlignment="1">
      <alignment horizontal="center"/>
    </xf>
    <xf numFmtId="0" fontId="6" fillId="0" borderId="0" xfId="0" applyFont="1" applyAlignment="1">
      <alignment horizontal="center" vertical="center" textRotation="90"/>
    </xf>
    <xf numFmtId="0" fontId="11" fillId="0" borderId="0" xfId="0" applyFont="1" applyAlignment="1">
      <alignment horizontal="center" vertical="center"/>
    </xf>
    <xf numFmtId="0" fontId="5" fillId="0" borderId="0" xfId="0" applyFont="1" applyAlignment="1">
      <alignment horizontal="right"/>
    </xf>
    <xf numFmtId="0" fontId="7" fillId="0" borderId="0" xfId="0" applyFont="1" applyAlignment="1" applyProtection="1">
      <alignment/>
      <protection hidden="1"/>
    </xf>
    <xf numFmtId="0" fontId="6" fillId="34" borderId="13" xfId="0" applyFont="1" applyFill="1" applyBorder="1" applyAlignment="1" applyProtection="1">
      <alignment horizontal="center"/>
      <protection locked="0"/>
    </xf>
    <xf numFmtId="0" fontId="6" fillId="35" borderId="0" xfId="0" applyFont="1" applyFill="1" applyBorder="1" applyAlignment="1" applyProtection="1">
      <alignment horizontal="center" vertical="center"/>
      <protection hidden="1"/>
    </xf>
    <xf numFmtId="0" fontId="0" fillId="0" borderId="0" xfId="0" applyAlignment="1" applyProtection="1">
      <alignment/>
      <protection hidden="1"/>
    </xf>
    <xf numFmtId="1" fontId="6" fillId="0" borderId="0" xfId="0" applyNumberFormat="1" applyFont="1" applyAlignment="1" applyProtection="1">
      <alignment horizontal="center"/>
      <protection hidden="1"/>
    </xf>
    <xf numFmtId="0" fontId="6" fillId="33" borderId="0" xfId="0" applyFont="1" applyFill="1" applyAlignment="1" applyProtection="1">
      <alignment/>
      <protection hidden="1"/>
    </xf>
    <xf numFmtId="0" fontId="6" fillId="33" borderId="0" xfId="0" applyFont="1" applyFill="1" applyAlignment="1" applyProtection="1">
      <alignment horizontal="center"/>
      <protection hidden="1"/>
    </xf>
    <xf numFmtId="0" fontId="0" fillId="33" borderId="0" xfId="0" applyFill="1" applyAlignment="1" applyProtection="1">
      <alignment/>
      <protection hidden="1"/>
    </xf>
    <xf numFmtId="0" fontId="0" fillId="0" borderId="0" xfId="0" applyFont="1" applyAlignment="1" applyProtection="1">
      <alignment/>
      <protection hidden="1"/>
    </xf>
    <xf numFmtId="0" fontId="0" fillId="0" borderId="0" xfId="0" applyAlignment="1">
      <alignment vertical="top"/>
    </xf>
    <xf numFmtId="0" fontId="6" fillId="0" borderId="0" xfId="0" applyFont="1" applyFill="1" applyBorder="1" applyAlignment="1" applyProtection="1">
      <alignment horizontal="left"/>
      <protection/>
    </xf>
    <xf numFmtId="0" fontId="6" fillId="0" borderId="0" xfId="0" applyFont="1" applyFill="1" applyBorder="1" applyAlignment="1" applyProtection="1">
      <alignment horizontal="center"/>
      <protection/>
    </xf>
    <xf numFmtId="0" fontId="7" fillId="0" borderId="0" xfId="0" applyFont="1" applyAlignment="1">
      <alignment vertical="top"/>
    </xf>
    <xf numFmtId="0" fontId="15" fillId="0" borderId="0" xfId="0" applyFont="1" applyBorder="1" applyAlignment="1" applyProtection="1">
      <alignment horizontal="center" vertical="center" wrapText="1"/>
      <protection hidden="1"/>
    </xf>
    <xf numFmtId="0" fontId="6" fillId="36" borderId="14" xfId="0" applyFont="1" applyFill="1" applyBorder="1" applyAlignment="1" applyProtection="1">
      <alignment/>
      <protection hidden="1"/>
    </xf>
    <xf numFmtId="0" fontId="7" fillId="36" borderId="0" xfId="0" applyFont="1" applyFill="1" applyBorder="1" applyAlignment="1" applyProtection="1">
      <alignment horizontal="right" vertical="center"/>
      <protection hidden="1"/>
    </xf>
    <xf numFmtId="0" fontId="9" fillId="36" borderId="0" xfId="0" applyFont="1" applyFill="1" applyBorder="1" applyAlignment="1" applyProtection="1">
      <alignment horizontal="right" vertical="center"/>
      <protection hidden="1"/>
    </xf>
    <xf numFmtId="1" fontId="6" fillId="36" borderId="0" xfId="0" applyNumberFormat="1" applyFont="1" applyFill="1" applyBorder="1" applyAlignment="1" applyProtection="1">
      <alignment horizontal="center" vertical="center"/>
      <protection hidden="1"/>
    </xf>
    <xf numFmtId="0" fontId="6" fillId="36" borderId="0" xfId="0" applyFont="1" applyFill="1" applyBorder="1" applyAlignment="1" applyProtection="1">
      <alignment vertical="center"/>
      <protection hidden="1"/>
    </xf>
    <xf numFmtId="0" fontId="6" fillId="37" borderId="0" xfId="0" applyFont="1" applyFill="1" applyBorder="1" applyAlignment="1" applyProtection="1">
      <alignment vertical="center"/>
      <protection hidden="1"/>
    </xf>
    <xf numFmtId="0" fontId="6" fillId="0" borderId="0" xfId="0" applyFont="1" applyBorder="1" applyAlignment="1">
      <alignment vertical="center"/>
    </xf>
    <xf numFmtId="1" fontId="7" fillId="36" borderId="0" xfId="0" applyNumberFormat="1" applyFont="1" applyFill="1" applyBorder="1" applyAlignment="1" applyProtection="1">
      <alignment horizontal="center" vertical="center"/>
      <protection hidden="1"/>
    </xf>
    <xf numFmtId="0" fontId="9" fillId="36" borderId="15" xfId="0" applyFont="1" applyFill="1" applyBorder="1" applyAlignment="1" applyProtection="1">
      <alignment horizontal="right" vertical="center"/>
      <protection hidden="1"/>
    </xf>
    <xf numFmtId="1" fontId="6" fillId="38" borderId="13" xfId="0" applyNumberFormat="1" applyFont="1" applyFill="1" applyBorder="1" applyAlignment="1" applyProtection="1">
      <alignment horizontal="center" vertical="center"/>
      <protection hidden="1"/>
    </xf>
    <xf numFmtId="1" fontId="6" fillId="37" borderId="15" xfId="0" applyNumberFormat="1" applyFont="1" applyFill="1" applyBorder="1" applyAlignment="1" applyProtection="1">
      <alignment horizontal="center" vertical="center"/>
      <protection hidden="1"/>
    </xf>
    <xf numFmtId="0" fontId="9" fillId="36" borderId="16" xfId="0" applyFont="1" applyFill="1" applyBorder="1" applyAlignment="1" applyProtection="1">
      <alignment horizontal="right" vertical="center"/>
      <protection hidden="1"/>
    </xf>
    <xf numFmtId="0" fontId="13" fillId="36" borderId="17" xfId="0" applyFont="1" applyFill="1" applyBorder="1" applyAlignment="1" applyProtection="1">
      <alignment vertical="center"/>
      <protection hidden="1"/>
    </xf>
    <xf numFmtId="0" fontId="6" fillId="36" borderId="18" xfId="0" applyFont="1" applyFill="1" applyBorder="1" applyAlignment="1" applyProtection="1">
      <alignment vertical="center"/>
      <protection hidden="1"/>
    </xf>
    <xf numFmtId="0" fontId="9" fillId="37" borderId="15" xfId="0" applyFont="1" applyFill="1" applyBorder="1" applyAlignment="1" applyProtection="1">
      <alignment horizontal="right" vertical="center"/>
      <protection hidden="1"/>
    </xf>
    <xf numFmtId="0" fontId="6" fillId="36" borderId="19" xfId="0" applyFont="1" applyFill="1" applyBorder="1" applyAlignment="1" applyProtection="1">
      <alignment vertical="center"/>
      <protection hidden="1"/>
    </xf>
    <xf numFmtId="0" fontId="6" fillId="36" borderId="20" xfId="0" applyFont="1" applyFill="1" applyBorder="1" applyAlignment="1" applyProtection="1">
      <alignment vertical="center"/>
      <protection hidden="1"/>
    </xf>
    <xf numFmtId="0" fontId="9" fillId="37" borderId="21" xfId="0" applyFont="1" applyFill="1" applyBorder="1" applyAlignment="1" applyProtection="1">
      <alignment horizontal="right" vertical="center"/>
      <protection hidden="1"/>
    </xf>
    <xf numFmtId="1" fontId="6" fillId="38" borderId="22" xfId="0" applyNumberFormat="1" applyFont="1" applyFill="1" applyBorder="1" applyAlignment="1" applyProtection="1">
      <alignment horizontal="center" vertical="center"/>
      <protection hidden="1"/>
    </xf>
    <xf numFmtId="0" fontId="9" fillId="36" borderId="21" xfId="0" applyFont="1" applyFill="1" applyBorder="1" applyAlignment="1" applyProtection="1">
      <alignment horizontal="right" vertical="center"/>
      <protection hidden="1"/>
    </xf>
    <xf numFmtId="1" fontId="6" fillId="37" borderId="21" xfId="0" applyNumberFormat="1" applyFont="1" applyFill="1" applyBorder="1" applyAlignment="1" applyProtection="1">
      <alignment horizontal="center" vertical="center"/>
      <protection hidden="1"/>
    </xf>
    <xf numFmtId="0" fontId="9" fillId="36" borderId="23" xfId="0" applyFont="1" applyFill="1" applyBorder="1" applyAlignment="1" applyProtection="1">
      <alignment horizontal="right" vertical="center"/>
      <protection hidden="1"/>
    </xf>
    <xf numFmtId="0" fontId="6" fillId="36" borderId="24" xfId="0" applyFont="1" applyFill="1" applyBorder="1" applyAlignment="1" applyProtection="1">
      <alignment/>
      <protection hidden="1"/>
    </xf>
    <xf numFmtId="0" fontId="13" fillId="36" borderId="17" xfId="0" applyFont="1" applyFill="1" applyBorder="1" applyAlignment="1" applyProtection="1">
      <alignment horizontal="center" vertical="center"/>
      <protection hidden="1"/>
    </xf>
    <xf numFmtId="0" fontId="6" fillId="36" borderId="25" xfId="0" applyFont="1" applyFill="1" applyBorder="1" applyAlignment="1" applyProtection="1">
      <alignment/>
      <protection hidden="1"/>
    </xf>
    <xf numFmtId="0" fontId="6" fillId="36" borderId="19" xfId="0" applyFont="1" applyFill="1" applyBorder="1" applyAlignment="1" applyProtection="1">
      <alignment/>
      <protection hidden="1"/>
    </xf>
    <xf numFmtId="0" fontId="6" fillId="36" borderId="0" xfId="0" applyFont="1" applyFill="1" applyBorder="1" applyAlignment="1" applyProtection="1">
      <alignment/>
      <protection hidden="1"/>
    </xf>
    <xf numFmtId="0" fontId="6" fillId="36" borderId="20" xfId="0" applyFont="1" applyFill="1" applyBorder="1" applyAlignment="1" applyProtection="1">
      <alignment/>
      <protection hidden="1"/>
    </xf>
    <xf numFmtId="0" fontId="6" fillId="37" borderId="18" xfId="0" applyFont="1" applyFill="1" applyBorder="1" applyAlignment="1" applyProtection="1">
      <alignment vertical="center"/>
      <protection hidden="1"/>
    </xf>
    <xf numFmtId="0" fontId="6" fillId="36" borderId="26" xfId="0" applyFont="1" applyFill="1" applyBorder="1" applyAlignment="1" applyProtection="1">
      <alignment/>
      <protection hidden="1"/>
    </xf>
    <xf numFmtId="0" fontId="6" fillId="36" borderId="17" xfId="0" applyFont="1" applyFill="1" applyBorder="1" applyAlignment="1" applyProtection="1">
      <alignment horizontal="center" vertical="center"/>
      <protection hidden="1"/>
    </xf>
    <xf numFmtId="0" fontId="6" fillId="36" borderId="17" xfId="0" applyFont="1" applyFill="1" applyBorder="1" applyAlignment="1" applyProtection="1">
      <alignment horizontal="center"/>
      <protection hidden="1"/>
    </xf>
    <xf numFmtId="0" fontId="6" fillId="36" borderId="17" xfId="0" applyFont="1" applyFill="1" applyBorder="1" applyAlignment="1" applyProtection="1">
      <alignment vertical="center"/>
      <protection hidden="1"/>
    </xf>
    <xf numFmtId="0" fontId="7" fillId="36" borderId="0" xfId="0" applyFont="1" applyFill="1" applyBorder="1" applyAlignment="1" applyProtection="1">
      <alignment vertical="center"/>
      <protection hidden="1"/>
    </xf>
    <xf numFmtId="0" fontId="18" fillId="36" borderId="24" xfId="0" applyFont="1" applyFill="1" applyBorder="1" applyAlignment="1" applyProtection="1">
      <alignment horizontal="center" vertical="center"/>
      <protection hidden="1"/>
    </xf>
    <xf numFmtId="0" fontId="18" fillId="36" borderId="25" xfId="0" applyFont="1" applyFill="1" applyBorder="1" applyAlignment="1" applyProtection="1">
      <alignment horizontal="center" vertical="center"/>
      <protection hidden="1"/>
    </xf>
    <xf numFmtId="0" fontId="0" fillId="0" borderId="0" xfId="0" applyAlignment="1">
      <alignment horizontal="center"/>
    </xf>
    <xf numFmtId="0" fontId="19" fillId="0" borderId="0" xfId="0" applyFont="1" applyAlignment="1">
      <alignment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19" fillId="0" borderId="10" xfId="0" applyFont="1" applyBorder="1" applyAlignment="1">
      <alignment vertical="center"/>
    </xf>
    <xf numFmtId="0" fontId="20" fillId="0" borderId="10" xfId="0" applyFont="1" applyBorder="1" applyAlignment="1">
      <alignment horizontal="center" vertical="center"/>
    </xf>
    <xf numFmtId="0" fontId="22" fillId="35" borderId="0" xfId="0" applyFont="1" applyFill="1" applyAlignment="1">
      <alignment/>
    </xf>
    <xf numFmtId="0" fontId="22" fillId="0" borderId="0" xfId="0" applyFont="1" applyAlignment="1">
      <alignment/>
    </xf>
    <xf numFmtId="0" fontId="15" fillId="0" borderId="0" xfId="0" applyFont="1" applyAlignment="1">
      <alignment horizontal="right"/>
    </xf>
    <xf numFmtId="0" fontId="24" fillId="0" borderId="0" xfId="0" applyFont="1" applyAlignment="1">
      <alignment horizontal="right"/>
    </xf>
    <xf numFmtId="0" fontId="24" fillId="0" borderId="0" xfId="0" applyFont="1" applyAlignment="1">
      <alignment horizontal="center"/>
    </xf>
    <xf numFmtId="0" fontId="25" fillId="0" borderId="0" xfId="0" applyFont="1" applyAlignment="1">
      <alignment/>
    </xf>
    <xf numFmtId="1" fontId="0" fillId="0" borderId="0" xfId="0" applyNumberFormat="1" applyAlignment="1">
      <alignment/>
    </xf>
    <xf numFmtId="0" fontId="20" fillId="0" borderId="0" xfId="0" applyFont="1" applyAlignment="1">
      <alignment horizontal="center" vertical="center"/>
    </xf>
    <xf numFmtId="16" fontId="20" fillId="0" borderId="10" xfId="0" applyNumberFormat="1" applyFont="1" applyBorder="1" applyAlignment="1">
      <alignment horizontal="center" vertical="center"/>
    </xf>
    <xf numFmtId="0" fontId="0" fillId="0" borderId="27" xfId="0" applyBorder="1" applyAlignment="1">
      <alignment/>
    </xf>
    <xf numFmtId="0" fontId="0" fillId="0" borderId="27" xfId="0" applyBorder="1" applyAlignment="1">
      <alignment horizontal="center"/>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20" fillId="0" borderId="10" xfId="0" applyFont="1" applyBorder="1" applyAlignment="1">
      <alignment horizontal="center" vertical="center" wrapText="1"/>
    </xf>
    <xf numFmtId="16" fontId="20" fillId="0" borderId="15" xfId="0" applyNumberFormat="1" applyFont="1" applyBorder="1" applyAlignment="1" quotePrefix="1">
      <alignment horizontal="center" vertical="center"/>
    </xf>
    <xf numFmtId="0" fontId="0" fillId="0" borderId="0" xfId="0" applyFont="1" applyAlignment="1">
      <alignment/>
    </xf>
    <xf numFmtId="0" fontId="5" fillId="0" borderId="0" xfId="0" applyFont="1" applyAlignment="1">
      <alignment horizontal="center"/>
    </xf>
    <xf numFmtId="0" fontId="5" fillId="34" borderId="10" xfId="0" applyFont="1" applyFill="1" applyBorder="1" applyAlignment="1" applyProtection="1">
      <alignment horizontal="center"/>
      <protection locked="0"/>
    </xf>
    <xf numFmtId="0" fontId="20" fillId="0" borderId="18" xfId="0" applyFont="1" applyBorder="1" applyAlignment="1">
      <alignment horizontal="center" vertical="center" wrapText="1"/>
    </xf>
    <xf numFmtId="0" fontId="22" fillId="0" borderId="0" xfId="0" applyFont="1" applyAlignment="1" applyProtection="1">
      <alignment/>
      <protection hidden="1"/>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30" fillId="0" borderId="0" xfId="0" applyFont="1" applyAlignment="1" applyProtection="1">
      <alignment/>
      <protection hidden="1"/>
    </xf>
    <xf numFmtId="1" fontId="30" fillId="0" borderId="0" xfId="0" applyNumberFormat="1" applyFont="1" applyAlignment="1" applyProtection="1">
      <alignment/>
      <protection hidden="1"/>
    </xf>
    <xf numFmtId="0" fontId="27" fillId="0" borderId="0" xfId="0" applyFont="1" applyAlignment="1" applyProtection="1">
      <alignment/>
      <protection hidden="1"/>
    </xf>
    <xf numFmtId="0" fontId="28" fillId="0" borderId="0" xfId="0" applyFont="1" applyAlignment="1" applyProtection="1">
      <alignment/>
      <protection hidden="1"/>
    </xf>
    <xf numFmtId="0" fontId="29" fillId="0" borderId="0" xfId="0" applyFont="1" applyAlignment="1" applyProtection="1">
      <alignment/>
      <protection hidden="1"/>
    </xf>
    <xf numFmtId="0" fontId="26" fillId="0" borderId="0" xfId="0" applyFont="1" applyAlignment="1" applyProtection="1">
      <alignment/>
      <protection hidden="1"/>
    </xf>
    <xf numFmtId="1" fontId="28" fillId="0" borderId="0" xfId="0" applyNumberFormat="1" applyFont="1" applyAlignment="1" applyProtection="1">
      <alignment/>
      <protection hidden="1"/>
    </xf>
    <xf numFmtId="0" fontId="31" fillId="0" borderId="15" xfId="0" applyFont="1" applyBorder="1" applyAlignment="1">
      <alignment horizontal="center" vertical="center"/>
    </xf>
    <xf numFmtId="0" fontId="31" fillId="0" borderId="10" xfId="0" applyFont="1" applyBorder="1" applyAlignment="1">
      <alignment horizontal="center" vertical="center"/>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31" fillId="0" borderId="10" xfId="0" applyFont="1" applyBorder="1" applyAlignment="1">
      <alignment horizontal="center" vertical="center" wrapText="1"/>
    </xf>
    <xf numFmtId="16" fontId="31" fillId="0" borderId="15" xfId="0" applyNumberFormat="1" applyFont="1" applyBorder="1" applyAlignment="1" quotePrefix="1">
      <alignment horizontal="center" vertical="center"/>
    </xf>
    <xf numFmtId="0" fontId="32" fillId="0" borderId="0" xfId="0" applyFont="1" applyAlignment="1" applyProtection="1">
      <alignment/>
      <protection hidden="1"/>
    </xf>
    <xf numFmtId="0" fontId="22" fillId="35" borderId="0" xfId="0" applyFont="1" applyFill="1" applyAlignment="1" applyProtection="1">
      <alignment/>
      <protection hidden="1"/>
    </xf>
    <xf numFmtId="0" fontId="23" fillId="35" borderId="0" xfId="0" applyFont="1" applyFill="1" applyAlignment="1" applyProtection="1">
      <alignment/>
      <protection hidden="1"/>
    </xf>
    <xf numFmtId="0" fontId="21" fillId="0" borderId="13" xfId="0" applyFont="1" applyBorder="1" applyAlignment="1" applyProtection="1">
      <alignment horizontal="center" vertical="center" wrapText="1"/>
      <protection hidden="1"/>
    </xf>
    <xf numFmtId="0" fontId="21" fillId="0" borderId="10" xfId="0" applyFont="1" applyBorder="1" applyAlignment="1" applyProtection="1">
      <alignment horizontal="center" vertical="center" wrapText="1"/>
      <protection hidden="1"/>
    </xf>
    <xf numFmtId="0" fontId="6" fillId="0" borderId="0" xfId="0" applyFont="1" applyBorder="1" applyAlignment="1">
      <alignment vertical="top" wrapText="1"/>
    </xf>
    <xf numFmtId="0" fontId="6" fillId="0" borderId="0" xfId="0" applyFont="1" applyBorder="1" applyAlignment="1">
      <alignment vertical="top"/>
    </xf>
    <xf numFmtId="0" fontId="15" fillId="0" borderId="0" xfId="0" applyFont="1" applyAlignment="1">
      <alignment/>
    </xf>
    <xf numFmtId="0" fontId="39" fillId="0" borderId="0" xfId="0" applyFont="1" applyBorder="1" applyAlignment="1">
      <alignment vertical="top" wrapText="1"/>
    </xf>
    <xf numFmtId="0" fontId="5" fillId="37" borderId="0" xfId="0" applyFont="1" applyFill="1" applyBorder="1" applyAlignment="1">
      <alignment vertical="center" wrapText="1"/>
    </xf>
    <xf numFmtId="0" fontId="5" fillId="0" borderId="0" xfId="0" applyFont="1" applyBorder="1" applyAlignment="1">
      <alignment vertical="top" wrapText="1"/>
    </xf>
    <xf numFmtId="0" fontId="37" fillId="0" borderId="0" xfId="0" applyFont="1" applyAlignment="1">
      <alignment vertical="center" wrapText="1"/>
    </xf>
    <xf numFmtId="0" fontId="38" fillId="0" borderId="0" xfId="0" applyFont="1" applyAlignment="1">
      <alignment vertical="center" wrapText="1"/>
    </xf>
    <xf numFmtId="0" fontId="0" fillId="0" borderId="0" xfId="0" applyBorder="1" applyAlignment="1">
      <alignment/>
    </xf>
    <xf numFmtId="0" fontId="40" fillId="0" borderId="0" xfId="0" applyFont="1" applyBorder="1" applyAlignment="1">
      <alignment vertical="top" wrapText="1"/>
    </xf>
    <xf numFmtId="0" fontId="41" fillId="0" borderId="0" xfId="0" applyFont="1" applyBorder="1" applyAlignment="1">
      <alignment horizontal="center" vertical="top" wrapText="1"/>
    </xf>
    <xf numFmtId="0" fontId="42" fillId="0" borderId="0" xfId="0" applyFont="1" applyBorder="1" applyAlignment="1">
      <alignment horizontal="center" vertical="top" wrapText="1"/>
    </xf>
    <xf numFmtId="0" fontId="44" fillId="0" borderId="0" xfId="0" applyFont="1" applyAlignment="1">
      <alignment/>
    </xf>
    <xf numFmtId="0" fontId="44" fillId="0" borderId="0" xfId="0" applyFont="1" applyBorder="1" applyAlignment="1">
      <alignment/>
    </xf>
    <xf numFmtId="0" fontId="40" fillId="0" borderId="0" xfId="0" applyFont="1" applyBorder="1" applyAlignment="1">
      <alignment horizontal="center" vertical="top" wrapText="1"/>
    </xf>
    <xf numFmtId="0" fontId="43" fillId="0" borderId="0" xfId="0" applyFont="1" applyBorder="1" applyAlignment="1">
      <alignment vertical="top" wrapText="1"/>
    </xf>
    <xf numFmtId="0" fontId="45" fillId="0" borderId="0" xfId="0" applyFont="1" applyBorder="1" applyAlignment="1">
      <alignment vertical="top" wrapText="1"/>
    </xf>
    <xf numFmtId="0" fontId="46" fillId="0" borderId="0" xfId="0" applyFont="1" applyBorder="1" applyAlignment="1">
      <alignment horizontal="center" vertical="top" wrapText="1"/>
    </xf>
    <xf numFmtId="0" fontId="40" fillId="0" borderId="0" xfId="0" applyFont="1" applyBorder="1" applyAlignment="1">
      <alignment horizontal="right" vertical="top" wrapText="1"/>
    </xf>
    <xf numFmtId="0" fontId="40" fillId="0" borderId="0" xfId="0" applyFont="1" applyBorder="1" applyAlignment="1">
      <alignment horizontal="left" vertical="top" wrapText="1"/>
    </xf>
    <xf numFmtId="0" fontId="41" fillId="0" borderId="0" xfId="0" applyFont="1" applyBorder="1" applyAlignment="1">
      <alignment horizontal="right" vertical="top" wrapText="1"/>
    </xf>
    <xf numFmtId="0" fontId="44" fillId="0" borderId="0" xfId="0" applyFont="1" applyBorder="1" applyAlignment="1">
      <alignment horizontal="right"/>
    </xf>
    <xf numFmtId="0" fontId="5" fillId="37" borderId="0" xfId="0" applyFont="1" applyFill="1" applyBorder="1" applyAlignment="1">
      <alignment horizontal="right" vertical="center" wrapText="1"/>
    </xf>
    <xf numFmtId="0" fontId="44" fillId="0" borderId="0" xfId="0" applyFont="1" applyAlignment="1">
      <alignment horizontal="right"/>
    </xf>
    <xf numFmtId="0" fontId="5" fillId="0" borderId="0" xfId="0" applyFont="1" applyBorder="1" applyAlignment="1">
      <alignment horizontal="right" vertical="top" wrapText="1"/>
    </xf>
    <xf numFmtId="0" fontId="0" fillId="0" borderId="0" xfId="0" applyAlignment="1">
      <alignment horizontal="right"/>
    </xf>
    <xf numFmtId="0" fontId="5" fillId="0" borderId="0" xfId="0" applyFont="1" applyAlignment="1">
      <alignment horizontal="center" vertical="center" wrapText="1"/>
    </xf>
    <xf numFmtId="0" fontId="5" fillId="0" borderId="0" xfId="0" applyFont="1" applyAlignment="1">
      <alignment horizontal="center" wrapText="1"/>
    </xf>
    <xf numFmtId="0" fontId="25" fillId="0" borderId="0" xfId="0" applyFont="1" applyAlignment="1" applyProtection="1">
      <alignment/>
      <protection hidden="1"/>
    </xf>
    <xf numFmtId="0" fontId="51" fillId="0" borderId="0" xfId="0" applyFont="1" applyAlignment="1">
      <alignment wrapText="1"/>
    </xf>
    <xf numFmtId="0" fontId="52" fillId="0" borderId="0" xfId="0" applyFont="1" applyAlignment="1">
      <alignment horizontal="center" wrapText="1"/>
    </xf>
    <xf numFmtId="0" fontId="6" fillId="0" borderId="0" xfId="0" applyFont="1" applyFill="1" applyAlignment="1">
      <alignment/>
    </xf>
    <xf numFmtId="0" fontId="11" fillId="0" borderId="0" xfId="0" applyFont="1" applyAlignment="1">
      <alignment vertical="center" textRotation="90"/>
    </xf>
    <xf numFmtId="0" fontId="25" fillId="35" borderId="0" xfId="0" applyFont="1" applyFill="1" applyAlignment="1" applyProtection="1">
      <alignment/>
      <protection hidden="1"/>
    </xf>
    <xf numFmtId="0" fontId="22" fillId="35" borderId="0" xfId="0" applyFont="1" applyFill="1" applyAlignment="1" applyProtection="1">
      <alignment horizontal="right"/>
      <protection hidden="1"/>
    </xf>
    <xf numFmtId="1" fontId="22" fillId="35" borderId="0" xfId="0" applyNumberFormat="1" applyFont="1" applyFill="1" applyAlignment="1" applyProtection="1">
      <alignment/>
      <protection hidden="1"/>
    </xf>
    <xf numFmtId="1" fontId="5" fillId="0" borderId="0" xfId="0" applyNumberFormat="1" applyFont="1" applyAlignment="1" applyProtection="1">
      <alignment horizontal="center"/>
      <protection hidden="1"/>
    </xf>
    <xf numFmtId="2"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1" fontId="5" fillId="0" borderId="0" xfId="0" applyNumberFormat="1" applyFont="1" applyAlignment="1" applyProtection="1">
      <alignment/>
      <protection hidden="1"/>
    </xf>
    <xf numFmtId="0" fontId="5" fillId="0" borderId="0" xfId="0" applyFont="1" applyAlignment="1" applyProtection="1">
      <alignment/>
      <protection hidden="1"/>
    </xf>
    <xf numFmtId="0" fontId="1" fillId="0" borderId="0" xfId="0" applyFont="1" applyAlignment="1" applyProtection="1">
      <alignment horizontal="center"/>
      <protection hidden="1"/>
    </xf>
    <xf numFmtId="0" fontId="1" fillId="0" borderId="0" xfId="0" applyFont="1" applyAlignment="1" applyProtection="1" quotePrefix="1">
      <alignment horizontal="center"/>
      <protection hidden="1"/>
    </xf>
    <xf numFmtId="165" fontId="5" fillId="0" borderId="0" xfId="0" applyNumberFormat="1" applyFont="1" applyAlignment="1" applyProtection="1">
      <alignment horizontal="center"/>
      <protection hidden="1"/>
    </xf>
    <xf numFmtId="0" fontId="30" fillId="0" borderId="0" xfId="0" applyFont="1" applyAlignment="1" applyProtection="1">
      <alignment horizontal="left"/>
      <protection hidden="1"/>
    </xf>
    <xf numFmtId="0" fontId="30" fillId="0" borderId="0" xfId="0" applyFont="1" applyAlignment="1" applyProtection="1">
      <alignment horizontal="right"/>
      <protection hidden="1"/>
    </xf>
    <xf numFmtId="0" fontId="30" fillId="0" borderId="0" xfId="0" applyFont="1" applyBorder="1" applyAlignment="1" applyProtection="1">
      <alignment horizontal="right"/>
      <protection hidden="1"/>
    </xf>
    <xf numFmtId="0" fontId="6" fillId="34" borderId="13" xfId="0" applyFont="1" applyFill="1" applyBorder="1" applyAlignment="1" applyProtection="1">
      <alignment horizontal="center" vertical="center"/>
      <protection locked="0"/>
    </xf>
    <xf numFmtId="0" fontId="30" fillId="0" borderId="0" xfId="0" applyFont="1" applyAlignment="1">
      <alignment/>
    </xf>
    <xf numFmtId="0" fontId="30" fillId="0" borderId="0" xfId="0" applyFont="1" applyAlignment="1">
      <alignment horizontal="center"/>
    </xf>
    <xf numFmtId="0" fontId="30" fillId="0" borderId="0" xfId="0" applyFont="1" applyAlignment="1" applyProtection="1">
      <alignment/>
      <protection hidden="1"/>
    </xf>
    <xf numFmtId="0" fontId="54" fillId="0" borderId="0" xfId="0" applyFont="1" applyAlignment="1" applyProtection="1">
      <alignment horizontal="center"/>
      <protection hidden="1"/>
    </xf>
    <xf numFmtId="2" fontId="30" fillId="0" borderId="0" xfId="0" applyNumberFormat="1" applyFont="1" applyAlignment="1">
      <alignment/>
    </xf>
    <xf numFmtId="1" fontId="30" fillId="0" borderId="0" xfId="0" applyNumberFormat="1" applyFont="1" applyAlignment="1">
      <alignment/>
    </xf>
    <xf numFmtId="0" fontId="54" fillId="0" borderId="0" xfId="0" applyFont="1" applyAlignment="1">
      <alignment horizontal="center"/>
    </xf>
    <xf numFmtId="0" fontId="30" fillId="0" borderId="0" xfId="0" applyFont="1" applyAlignment="1" applyProtection="1">
      <alignment horizontal="center"/>
      <protection hidden="1"/>
    </xf>
    <xf numFmtId="0" fontId="30" fillId="0" borderId="0" xfId="0" applyFont="1" applyAlignment="1" applyProtection="1">
      <alignment horizontal="right"/>
      <protection hidden="1"/>
    </xf>
    <xf numFmtId="0" fontId="30" fillId="0" borderId="0" xfId="0" applyFont="1" applyAlignment="1">
      <alignment horizontal="right"/>
    </xf>
    <xf numFmtId="0" fontId="30" fillId="0" borderId="0" xfId="0" applyFont="1" applyFill="1" applyBorder="1" applyAlignment="1" applyProtection="1">
      <alignment horizontal="right"/>
      <protection hidden="1"/>
    </xf>
    <xf numFmtId="1" fontId="30" fillId="0" borderId="0" xfId="0" applyNumberFormat="1" applyFont="1" applyAlignment="1" applyProtection="1">
      <alignment/>
      <protection hidden="1"/>
    </xf>
    <xf numFmtId="0" fontId="30" fillId="0" borderId="0" xfId="0" applyFont="1" applyFill="1" applyBorder="1" applyAlignment="1" applyProtection="1">
      <alignment/>
      <protection hidden="1"/>
    </xf>
    <xf numFmtId="0" fontId="30" fillId="0" borderId="0" xfId="0" applyFont="1" applyFill="1" applyBorder="1" applyAlignment="1">
      <alignment horizontal="center"/>
    </xf>
    <xf numFmtId="0" fontId="30" fillId="0" borderId="0" xfId="0" applyFont="1" applyFill="1" applyBorder="1" applyAlignment="1">
      <alignment/>
    </xf>
    <xf numFmtId="0" fontId="30" fillId="0" borderId="0" xfId="0" applyFont="1" applyAlignment="1">
      <alignment horizontal="left"/>
    </xf>
    <xf numFmtId="0" fontId="54" fillId="0" borderId="0" xfId="0" applyFont="1" applyAlignment="1">
      <alignment horizontal="right"/>
    </xf>
    <xf numFmtId="0" fontId="22" fillId="0" borderId="0" xfId="0" applyFont="1" applyAlignment="1">
      <alignment/>
    </xf>
    <xf numFmtId="0" fontId="32" fillId="0" borderId="0" xfId="0" applyFont="1" applyAlignment="1">
      <alignment/>
    </xf>
    <xf numFmtId="1" fontId="30" fillId="0" borderId="0" xfId="0" applyNumberFormat="1" applyFont="1" applyAlignment="1" applyProtection="1">
      <alignment horizontal="right"/>
      <protection hidden="1"/>
    </xf>
    <xf numFmtId="0" fontId="102" fillId="0" borderId="0" xfId="0" applyFont="1" applyAlignment="1">
      <alignment/>
    </xf>
    <xf numFmtId="0" fontId="102" fillId="0" borderId="0" xfId="0" applyFont="1" applyAlignment="1" applyProtection="1">
      <alignment/>
      <protection hidden="1"/>
    </xf>
    <xf numFmtId="0" fontId="102" fillId="0" borderId="0" xfId="0" applyFont="1" applyAlignment="1" applyProtection="1">
      <alignment horizontal="center"/>
      <protection hidden="1"/>
    </xf>
    <xf numFmtId="0" fontId="6" fillId="0" borderId="0" xfId="0" applyFont="1" applyFill="1" applyBorder="1" applyAlignment="1" applyProtection="1">
      <alignment horizontal="center"/>
      <protection hidden="1"/>
    </xf>
    <xf numFmtId="0" fontId="53" fillId="0" borderId="0" xfId="0" applyFont="1" applyAlignment="1">
      <alignment horizontal="center" vertical="center" textRotation="90"/>
    </xf>
    <xf numFmtId="0" fontId="6" fillId="34" borderId="15" xfId="0" applyFont="1" applyFill="1" applyBorder="1" applyAlignment="1" applyProtection="1">
      <alignment horizontal="center"/>
      <protection locked="0"/>
    </xf>
    <xf numFmtId="0" fontId="6" fillId="34" borderId="16" xfId="0" applyFont="1" applyFill="1" applyBorder="1" applyAlignment="1" applyProtection="1">
      <alignment horizontal="center"/>
      <protection locked="0"/>
    </xf>
    <xf numFmtId="0" fontId="6" fillId="34" borderId="13" xfId="0" applyFont="1" applyFill="1" applyBorder="1" applyAlignment="1" applyProtection="1">
      <alignment horizontal="center"/>
      <protection locked="0"/>
    </xf>
    <xf numFmtId="0" fontId="7" fillId="0" borderId="0" xfId="0" applyFont="1" applyAlignment="1" applyProtection="1">
      <alignment horizontal="center"/>
      <protection hidden="1"/>
    </xf>
    <xf numFmtId="0" fontId="13" fillId="0" borderId="0" xfId="0" applyFont="1" applyBorder="1" applyAlignment="1" applyProtection="1">
      <alignment horizontal="center"/>
      <protection hidden="1"/>
    </xf>
    <xf numFmtId="0" fontId="6" fillId="0" borderId="0" xfId="0" applyFont="1" applyFill="1" applyBorder="1" applyAlignment="1" applyProtection="1">
      <alignment horizontal="center" vertical="center"/>
      <protection hidden="1"/>
    </xf>
    <xf numFmtId="0" fontId="11" fillId="0" borderId="0" xfId="0" applyFont="1" applyAlignment="1">
      <alignment horizontal="center" vertical="center" textRotation="90"/>
    </xf>
    <xf numFmtId="0" fontId="8" fillId="0" borderId="0" xfId="0" applyFont="1" applyBorder="1" applyAlignment="1">
      <alignment horizontal="center"/>
    </xf>
    <xf numFmtId="0" fontId="7" fillId="0" borderId="0" xfId="0" applyFont="1" applyAlignment="1">
      <alignment vertical="top" wrapText="1"/>
    </xf>
    <xf numFmtId="0" fontId="5" fillId="0" borderId="0" xfId="0" applyFont="1" applyAlignment="1" applyProtection="1">
      <alignment horizontal="center"/>
      <protection hidden="1"/>
    </xf>
    <xf numFmtId="0" fontId="50" fillId="0" borderId="0" xfId="0" applyFont="1" applyAlignment="1">
      <alignment horizontal="center"/>
    </xf>
    <xf numFmtId="0" fontId="49" fillId="0" borderId="0" xfId="0" applyFont="1" applyAlignment="1">
      <alignment horizontal="center"/>
    </xf>
    <xf numFmtId="0" fontId="8" fillId="0" borderId="0" xfId="0" applyFont="1" applyBorder="1" applyAlignment="1">
      <alignment horizontal="center" vertical="center"/>
    </xf>
    <xf numFmtId="0" fontId="17" fillId="36" borderId="0" xfId="0" applyFont="1" applyFill="1" applyBorder="1" applyAlignment="1" applyProtection="1">
      <alignment horizontal="right" vertical="center" textRotation="90"/>
      <protection hidden="1"/>
    </xf>
    <xf numFmtId="0" fontId="17" fillId="36" borderId="18" xfId="0" applyFont="1" applyFill="1" applyBorder="1" applyAlignment="1" applyProtection="1">
      <alignment horizontal="right" vertical="center" textRotation="90"/>
      <protection hidden="1"/>
    </xf>
    <xf numFmtId="0" fontId="13" fillId="36" borderId="17" xfId="0" applyFont="1" applyFill="1" applyBorder="1" applyAlignment="1" applyProtection="1">
      <alignment horizontal="center" vertical="center"/>
      <protection hidden="1"/>
    </xf>
    <xf numFmtId="0" fontId="13" fillId="36" borderId="25" xfId="0" applyFont="1" applyFill="1" applyBorder="1" applyAlignment="1" applyProtection="1">
      <alignment horizontal="center" vertical="center"/>
      <protection hidden="1"/>
    </xf>
    <xf numFmtId="0" fontId="6" fillId="0" borderId="21"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12" fillId="0" borderId="0" xfId="0" applyFont="1" applyBorder="1" applyAlignment="1" applyProtection="1">
      <alignment horizontal="center"/>
      <protection hidden="1"/>
    </xf>
    <xf numFmtId="0" fontId="1" fillId="0" borderId="0" xfId="0" applyFont="1" applyAlignment="1">
      <alignment wrapText="1"/>
    </xf>
    <xf numFmtId="0" fontId="14" fillId="0" borderId="0" xfId="0" applyFont="1" applyAlignment="1">
      <alignment horizontal="center" vertical="center" textRotation="90"/>
    </xf>
    <xf numFmtId="0" fontId="34" fillId="0" borderId="0" xfId="0" applyFont="1" applyAlignment="1">
      <alignment wrapText="1"/>
    </xf>
    <xf numFmtId="0" fontId="0" fillId="0" borderId="0" xfId="0" applyAlignment="1">
      <alignment wrapText="1"/>
    </xf>
    <xf numFmtId="0" fontId="16" fillId="0" borderId="0" xfId="0" applyFont="1" applyAlignment="1">
      <alignment horizontal="center"/>
    </xf>
    <xf numFmtId="0" fontId="34" fillId="0" borderId="0" xfId="0" applyFont="1" applyAlignment="1">
      <alignment horizontal="left" wrapText="1"/>
    </xf>
    <xf numFmtId="0" fontId="48" fillId="0" borderId="0" xfId="0" applyFont="1" applyAlignment="1">
      <alignment horizontal="center" vertical="center" wrapText="1"/>
    </xf>
    <xf numFmtId="0" fontId="47" fillId="0" borderId="0" xfId="0" applyFont="1" applyAlignment="1">
      <alignment horizontal="center" vertical="center" wrapText="1"/>
    </xf>
    <xf numFmtId="0" fontId="40" fillId="0" borderId="0" xfId="0" applyFont="1" applyBorder="1" applyAlignment="1">
      <alignment vertical="top" wrapText="1"/>
    </xf>
    <xf numFmtId="0" fontId="46" fillId="0" borderId="0" xfId="0" applyFont="1" applyBorder="1" applyAlignment="1">
      <alignment horizontal="center" vertical="top" wrapText="1"/>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Output" xfId="55"/>
    <cellStyle name="Percent" xfId="56"/>
    <cellStyle name="Title" xfId="57"/>
    <cellStyle name="Total" xfId="58"/>
    <cellStyle name="Warning Text"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Order of Administration</a:t>
            </a:r>
          </a:p>
        </c:rich>
      </c:tx>
      <c:layout/>
      <c:spPr>
        <a:noFill/>
        <a:ln>
          <a:noFill/>
        </a:ln>
      </c:spPr>
    </c:title>
    <c:plotArea>
      <c:layout/>
      <c:lineChart>
        <c:grouping val="standard"/>
        <c:varyColors val="0"/>
        <c:ser>
          <c:idx val="0"/>
          <c:order val="0"/>
          <c:tx>
            <c:strRef>
              <c:f>'WJ III COG'!#REF!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'WJ III COG'!$A$8:$N$8</c:f>
              <c:strCache/>
            </c:strRef>
          </c:cat>
          <c:val>
            <c:numRef>
              <c:f>'WJ III COG'!$A$9:$N$9</c:f>
              <c:numCache/>
            </c:numRef>
          </c:val>
          <c:smooth val="0"/>
        </c:ser>
        <c:ser>
          <c:idx val="1"/>
          <c:order val="1"/>
          <c:tx>
            <c:strRef>
              <c:f>'WJ III COG'!#REF!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0000"/>
                </a:solidFill>
              </a:ln>
            </c:spPr>
          </c:marker>
          <c:cat>
            <c:strRef>
              <c:f>'WJ III COG'!$A$8:$N$8</c:f>
              <c:strCache/>
            </c:strRef>
          </c:cat>
          <c:val>
            <c:numRef>
              <c:f>'WJ III COG'!$A$9:$N$9</c:f>
              <c:numCache/>
            </c:numRef>
          </c:val>
          <c:smooth val="0"/>
        </c:ser>
        <c:marker val="1"/>
        <c:axId val="9016674"/>
        <c:axId val="14041203"/>
      </c:lineChart>
      <c:catAx>
        <c:axId val="9016674"/>
        <c:scaling>
          <c:orientation val="minMax"/>
        </c:scaling>
        <c:axPos val="b"/>
        <c:delete val="0"/>
        <c:numFmt formatCode="General" sourceLinked="1"/>
        <c:majorTickMark val="cross"/>
        <c:minorTickMark val="none"/>
        <c:tickLblPos val="nextTo"/>
        <c:spPr>
          <a:ln w="3175">
            <a:solidFill>
              <a:srgbClr val="000000"/>
            </a:solidFill>
          </a:ln>
        </c:spPr>
        <c:txPr>
          <a:bodyPr vert="wordArtVert" rot="0"/>
          <a:lstStyle/>
          <a:p>
            <a:pPr>
              <a:defRPr lang="en-US" cap="none" sz="1000" b="0" i="0" u="none" baseline="0">
                <a:solidFill>
                  <a:srgbClr val="000000"/>
                </a:solidFill>
                <a:latin typeface="Geneva"/>
                <a:ea typeface="Geneva"/>
                <a:cs typeface="Geneva"/>
              </a:defRPr>
            </a:pPr>
          </a:p>
        </c:txPr>
        <c:crossAx val="14041203"/>
        <c:crosses val="autoZero"/>
        <c:auto val="0"/>
        <c:lblOffset val="100"/>
        <c:tickLblSkip val="2"/>
        <c:noMultiLvlLbl val="0"/>
      </c:catAx>
      <c:valAx>
        <c:axId val="14041203"/>
        <c:scaling>
          <c:orientation val="minMax"/>
          <c:max val="19"/>
          <c:min val="0"/>
        </c:scaling>
        <c:axPos val="l"/>
        <c:title>
          <c:tx>
            <c:rich>
              <a:bodyPr vert="horz" rot="-5400000" anchor="ctr"/>
              <a:lstStyle/>
              <a:p>
                <a:pPr algn="ctr">
                  <a:defRPr/>
                </a:pPr>
                <a:r>
                  <a:rPr lang="en-US" cap="none" sz="1000" b="1" i="0" u="none" baseline="0">
                    <a:solidFill>
                      <a:srgbClr val="000000"/>
                    </a:solidFill>
                    <a:latin typeface="Geneva"/>
                    <a:ea typeface="Geneva"/>
                    <a:cs typeface="Geneva"/>
                  </a:rPr>
                  <a:t>scale score</a:t>
                </a:r>
              </a:p>
            </c:rich>
          </c:tx>
          <c:layout/>
          <c:overlay val="0"/>
          <c:spPr>
            <a:noFill/>
            <a:ln>
              <a:noFill/>
            </a:ln>
          </c:spPr>
        </c:title>
        <c:delete val="0"/>
        <c:numFmt formatCode="General" sourceLinked="1"/>
        <c:majorTickMark val="cross"/>
        <c:minorTickMark val="none"/>
        <c:tickLblPos val="nextTo"/>
        <c:spPr>
          <a:ln w="3175">
            <a:solidFill>
              <a:srgbClr val="000000"/>
            </a:solidFill>
          </a:ln>
        </c:spPr>
        <c:crossAx val="9016674"/>
        <c:crossesAt val="1"/>
        <c:crossBetween val="midCat"/>
        <c:dispUnits/>
        <c:majorUnit val="2"/>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Verbal vs Performance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'WJ III COG'!$V$1:$V$19</c:f>
              <c:strCache>
                <c:ptCount val="19"/>
                <c:pt idx="7">
                  <c:v>VAL</c:v>
                </c:pt>
                <c:pt idx="8">
                  <c:v>1</c:v>
                </c:pt>
                <c:pt idx="13">
                  <c:v>Ret Fl</c:v>
                </c:pt>
                <c:pt idx="16">
                  <c:v>1</c:v>
                </c:pt>
                <c:pt idx="18">
                  <c:v>Verbal Ability (Ext)</c:v>
                </c:pt>
              </c:strCache>
            </c:strRef>
          </c:cat>
          <c:val>
            <c:numRef>
              <c:f>'WJ III COG'!$W$1:$W$19</c:f>
              <c:numCache>
                <c:ptCount val="19"/>
                <c:pt idx="7">
                  <c:v>0</c:v>
                </c:pt>
                <c:pt idx="8">
                  <c:v>1</c:v>
                </c:pt>
                <c:pt idx="13">
                  <c:v>0</c:v>
                </c:pt>
                <c:pt idx="16">
                  <c:v>1</c:v>
                </c:pt>
              </c:numCache>
            </c:numRef>
          </c:val>
          <c:smooth val="0"/>
        </c:ser>
        <c:marker val="1"/>
        <c:axId val="30472668"/>
        <c:axId val="5818557"/>
      </c:lineChart>
      <c:catAx>
        <c:axId val="30472668"/>
        <c:scaling>
          <c:orientation val="minMax"/>
        </c:scaling>
        <c:axPos val="b"/>
        <c:delete val="0"/>
        <c:numFmt formatCode="General" sourceLinked="1"/>
        <c:majorTickMark val="cross"/>
        <c:minorTickMark val="none"/>
        <c:tickLblPos val="nextTo"/>
        <c:spPr>
          <a:ln w="3175">
            <a:solidFill>
              <a:srgbClr val="000000"/>
            </a:solidFill>
          </a:ln>
        </c:spPr>
        <c:txPr>
          <a:bodyPr vert="wordArtVert" rot="0"/>
          <a:lstStyle/>
          <a:p>
            <a:pPr>
              <a:defRPr lang="en-US" cap="none" sz="1000" b="0" i="0" u="none" baseline="0">
                <a:solidFill>
                  <a:srgbClr val="000000"/>
                </a:solidFill>
                <a:latin typeface="Geneva"/>
                <a:ea typeface="Geneva"/>
                <a:cs typeface="Geneva"/>
              </a:defRPr>
            </a:pPr>
          </a:p>
        </c:txPr>
        <c:crossAx val="5818557"/>
        <c:crosses val="autoZero"/>
        <c:auto val="0"/>
        <c:lblOffset val="100"/>
        <c:tickLblSkip val="3"/>
        <c:noMultiLvlLbl val="0"/>
      </c:catAx>
      <c:valAx>
        <c:axId val="5818557"/>
        <c:scaling>
          <c:orientation val="minMax"/>
          <c:max val="19"/>
          <c:min val="0"/>
        </c:scaling>
        <c:axPos val="l"/>
        <c:delete val="0"/>
        <c:numFmt formatCode="General" sourceLinked="1"/>
        <c:majorTickMark val="cross"/>
        <c:minorTickMark val="none"/>
        <c:tickLblPos val="nextTo"/>
        <c:spPr>
          <a:ln w="3175">
            <a:solidFill>
              <a:srgbClr val="000000"/>
            </a:solidFill>
          </a:ln>
        </c:spPr>
        <c:crossAx val="30472668"/>
        <c:crossesAt val="1"/>
        <c:crossBetween val="midCat"/>
        <c:dispUnits/>
        <c:majorUnit val="2"/>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Motor Component Subtests</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'WJ III COG'!#REF!</c:f>
              <c:strCache>
                <c:ptCount val="1"/>
                <c:pt idx="0">
                  <c:v>1</c:v>
                </c:pt>
              </c:strCache>
            </c:strRef>
          </c:cat>
          <c:val>
            <c:numRef>
              <c:f>'WJ III COG'!#REF!</c:f>
              <c:numCache>
                <c:ptCount val="1"/>
                <c:pt idx="0">
                  <c:v>1</c:v>
                </c:pt>
              </c:numCache>
            </c:numRef>
          </c:val>
          <c:smooth val="0"/>
        </c:ser>
        <c:marker val="1"/>
        <c:axId val="52367014"/>
        <c:axId val="1541079"/>
      </c:lineChart>
      <c:catAx>
        <c:axId val="52367014"/>
        <c:scaling>
          <c:orientation val="minMax"/>
        </c:scaling>
        <c:axPos val="b"/>
        <c:delete val="0"/>
        <c:numFmt formatCode="General" sourceLinked="1"/>
        <c:majorTickMark val="cross"/>
        <c:minorTickMark val="none"/>
        <c:tickLblPos val="nextTo"/>
        <c:spPr>
          <a:ln w="3175">
            <a:solidFill>
              <a:srgbClr val="000000"/>
            </a:solidFill>
          </a:ln>
        </c:spPr>
        <c:crossAx val="1541079"/>
        <c:crosses val="autoZero"/>
        <c:auto val="0"/>
        <c:lblOffset val="100"/>
        <c:tickLblSkip val="1"/>
        <c:noMultiLvlLbl val="0"/>
      </c:catAx>
      <c:valAx>
        <c:axId val="1541079"/>
        <c:scaling>
          <c:orientation val="minMax"/>
          <c:max val="19"/>
          <c:min val="0"/>
        </c:scaling>
        <c:axPos val="l"/>
        <c:delete val="0"/>
        <c:numFmt formatCode="General" sourceLinked="1"/>
        <c:majorTickMark val="cross"/>
        <c:minorTickMark val="none"/>
        <c:tickLblPos val="nextTo"/>
        <c:spPr>
          <a:ln w="3175">
            <a:solidFill>
              <a:srgbClr val="000000"/>
            </a:solidFill>
          </a:ln>
        </c:spPr>
        <c:crossAx val="52367014"/>
        <c:crossesAt val="1"/>
        <c:crossBetween val="midCat"/>
        <c:dispUnits/>
        <c:majorUnit val="2"/>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IQ and Index Chart</a:t>
            </a:r>
          </a:p>
        </c:rich>
      </c:tx>
      <c:layout/>
      <c:spPr>
        <a:noFill/>
        <a:ln>
          <a:noFill/>
        </a:ln>
      </c:spPr>
    </c:title>
    <c:plotArea>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'WJ III COG'!$AJ$18:$AJ$24</c:f>
              <c:numCache>
                <c:ptCount val="7"/>
              </c:numCache>
            </c:numRef>
          </c:cat>
          <c:val>
            <c:numRef>
              <c:f>'WJ III COG'!$AK$18:$AK$24</c:f>
              <c:numCache>
                <c:ptCount val="7"/>
              </c:numCache>
            </c:numRef>
          </c:val>
        </c:ser>
        <c:gapWidth val="50"/>
        <c:axId val="13869712"/>
        <c:axId val="57718545"/>
      </c:barChart>
      <c:catAx>
        <c:axId val="13869712"/>
        <c:scaling>
          <c:orientation val="minMax"/>
        </c:scaling>
        <c:axPos val="b"/>
        <c:delete val="0"/>
        <c:numFmt formatCode="General" sourceLinked="1"/>
        <c:majorTickMark val="cross"/>
        <c:minorTickMark val="none"/>
        <c:tickLblPos val="nextTo"/>
        <c:spPr>
          <a:ln w="3175">
            <a:solidFill>
              <a:srgbClr val="000000"/>
            </a:solidFill>
          </a:ln>
        </c:spPr>
        <c:crossAx val="57718545"/>
        <c:crosses val="autoZero"/>
        <c:auto val="0"/>
        <c:lblOffset val="100"/>
        <c:tickLblSkip val="1"/>
        <c:noMultiLvlLbl val="0"/>
      </c:catAx>
      <c:valAx>
        <c:axId val="57718545"/>
        <c:scaling>
          <c:orientation val="minMax"/>
        </c:scaling>
        <c:axPos val="l"/>
        <c:delete val="0"/>
        <c:numFmt formatCode="General" sourceLinked="1"/>
        <c:majorTickMark val="cross"/>
        <c:minorTickMark val="none"/>
        <c:tickLblPos val="nextTo"/>
        <c:spPr>
          <a:ln w="3175">
            <a:solidFill>
              <a:srgbClr val="000000"/>
            </a:solidFill>
          </a:ln>
        </c:spPr>
        <c:crossAx val="13869712"/>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WJ III Achievement</a:t>
            </a:r>
          </a:p>
        </c:rich>
      </c:tx>
      <c:layout>
        <c:manualLayout>
          <c:xMode val="factor"/>
          <c:yMode val="factor"/>
          <c:x val="0.00225"/>
          <c:y val="-0.00175"/>
        </c:manualLayout>
      </c:layout>
      <c:spPr>
        <a:noFill/>
        <a:ln>
          <a:noFill/>
        </a:ln>
      </c:spPr>
    </c:title>
    <c:plotArea>
      <c:layout>
        <c:manualLayout>
          <c:xMode val="edge"/>
          <c:yMode val="edge"/>
          <c:x val="0.038"/>
          <c:y val="0.103"/>
          <c:w val="0.951"/>
          <c:h val="0.84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'WJ III ACH'!$B$19:$B$41</c:f>
              <c:strCache>
                <c:ptCount val="23"/>
                <c:pt idx="0">
                  <c:v>Oral Language </c:v>
                </c:pt>
                <c:pt idx="1">
                  <c:v>Oral Expression </c:v>
                </c:pt>
                <c:pt idx="2">
                  <c:v>Listening Comprehension </c:v>
                </c:pt>
                <c:pt idx="4">
                  <c:v>Total Achievement </c:v>
                </c:pt>
                <c:pt idx="6">
                  <c:v>Broad Reading </c:v>
                </c:pt>
                <c:pt idx="7">
                  <c:v>Broad Math </c:v>
                </c:pt>
                <c:pt idx="8">
                  <c:v>Broad Written Language </c:v>
                </c:pt>
                <c:pt idx="10">
                  <c:v>Basic Reading Skills </c:v>
                </c:pt>
                <c:pt idx="11">
                  <c:v>Reading Comprehension </c:v>
                </c:pt>
                <c:pt idx="12">
                  <c:v>Math Calculations Skills </c:v>
                </c:pt>
                <c:pt idx="13">
                  <c:v>Math Reasoning </c:v>
                </c:pt>
                <c:pt idx="14">
                  <c:v>Basic Writing Skills </c:v>
                </c:pt>
                <c:pt idx="15">
                  <c:v>Written Expression </c:v>
                </c:pt>
                <c:pt idx="17">
                  <c:v>Academic Skills </c:v>
                </c:pt>
                <c:pt idx="18">
                  <c:v>Academic Fluency </c:v>
                </c:pt>
                <c:pt idx="19">
                  <c:v>Academic Applications </c:v>
                </c:pt>
                <c:pt idx="20">
                  <c:v>Academic Knowledge </c:v>
                </c:pt>
                <c:pt idx="21">
                  <c:v>Phoneme/Grapheme Knowledge </c:v>
                </c:pt>
              </c:strCache>
            </c:strRef>
          </c:cat>
          <c:val>
            <c:numRef>
              <c:f>'WJ III ACH'!$C$19:$C$41</c:f>
              <c:numCache>
                <c:ptCount val="23"/>
                <c:pt idx="1">
                  <c:v>102</c:v>
                </c:pt>
                <c:pt idx="4">
                  <c:v>90</c:v>
                </c:pt>
                <c:pt idx="6">
                  <c:v>86</c:v>
                </c:pt>
                <c:pt idx="7">
                  <c:v>95</c:v>
                </c:pt>
                <c:pt idx="8">
                  <c:v>92</c:v>
                </c:pt>
                <c:pt idx="10">
                  <c:v>89</c:v>
                </c:pt>
                <c:pt idx="11">
                  <c:v>99</c:v>
                </c:pt>
                <c:pt idx="12">
                  <c:v>92</c:v>
                </c:pt>
                <c:pt idx="13">
                  <c:v>101</c:v>
                </c:pt>
                <c:pt idx="14">
                  <c:v>104</c:v>
                </c:pt>
                <c:pt idx="15">
                  <c:v>89</c:v>
                </c:pt>
                <c:pt idx="17">
                  <c:v>90</c:v>
                </c:pt>
                <c:pt idx="18">
                  <c:v>82</c:v>
                </c:pt>
                <c:pt idx="19">
                  <c:v>96</c:v>
                </c:pt>
                <c:pt idx="20">
                  <c:v>102</c:v>
                </c:pt>
                <c:pt idx="21">
                  <c:v>87</c:v>
                </c:pt>
              </c:numCache>
            </c:numRef>
          </c:val>
          <c:smooth val="0"/>
        </c:ser>
        <c:marker val="1"/>
        <c:axId val="49704858"/>
        <c:axId val="44690539"/>
      </c:lineChart>
      <c:catAx>
        <c:axId val="49704858"/>
        <c:scaling>
          <c:orientation val="minMax"/>
        </c:scaling>
        <c:axPos val="b"/>
        <c:title>
          <c:tx>
            <c:rich>
              <a:bodyPr vert="horz" rot="0" anchor="ctr"/>
              <a:lstStyle/>
              <a:p>
                <a:pPr algn="ctr">
                  <a:defRPr/>
                </a:pPr>
                <a:r>
                  <a:rPr lang="en-US" cap="none" sz="1000" b="1" i="0" u="none" baseline="0">
                    <a:solidFill>
                      <a:srgbClr val="000000"/>
                    </a:solidFill>
                  </a:rPr>
                  <a:t>Clusters of Achievement</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defRPr>
            </a:pPr>
          </a:p>
        </c:txPr>
        <c:crossAx val="44690539"/>
        <c:crosses val="autoZero"/>
        <c:auto val="1"/>
        <c:lblOffset val="100"/>
        <c:tickLblSkip val="1"/>
        <c:noMultiLvlLbl val="0"/>
      </c:catAx>
      <c:valAx>
        <c:axId val="44690539"/>
        <c:scaling>
          <c:orientation val="minMax"/>
        </c:scaling>
        <c:axPos val="l"/>
        <c:title>
          <c:tx>
            <c:rich>
              <a:bodyPr vert="horz" rot="-5400000" anchor="ctr"/>
              <a:lstStyle/>
              <a:p>
                <a:pPr algn="ctr">
                  <a:defRPr/>
                </a:pPr>
                <a:r>
                  <a:rPr lang="en-US" cap="none" sz="1000" b="1" i="0" u="none" baseline="0">
                    <a:solidFill>
                      <a:srgbClr val="000000"/>
                    </a:solidFill>
                  </a:rPr>
                  <a:t>Standard Scores</a:t>
                </a:r>
              </a:p>
            </c:rich>
          </c:tx>
          <c:layout>
            <c:manualLayout>
              <c:xMode val="factor"/>
              <c:yMode val="factor"/>
              <c:x val="-0.001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704858"/>
        <c:crossesAt val="1"/>
        <c:crossBetween val="between"/>
        <c:dispUnits/>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35"/>
          <c:w val="0.969"/>
          <c:h val="0.933"/>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Ach Profiles'!$B$121:$B$132</c:f>
              <c:strCache/>
            </c:strRef>
          </c:cat>
          <c:val>
            <c:numRef>
              <c:f>'WJ III Ach Profiles'!$C$121:$C$132</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Ach Profiles'!$B$121:$B$132</c:f>
              <c:strCache/>
            </c:strRef>
          </c:cat>
          <c:val>
            <c:numRef>
              <c:f>'WJ III Ach Profiles'!$D$121:$D$132</c:f>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Ach Profiles'!$B$121:$B$132</c:f>
              <c:strCache/>
            </c:strRef>
          </c:cat>
          <c:val>
            <c:numRef>
              <c:f>'WJ III Ach Profiles'!$E$121:$E$132</c:f>
              <c:numCache/>
            </c:numRef>
          </c:val>
        </c:ser>
        <c:overlap val="100"/>
        <c:axId val="66670532"/>
        <c:axId val="63163877"/>
      </c:barChart>
      <c:catAx>
        <c:axId val="66670532"/>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63163877"/>
        <c:crosses val="autoZero"/>
        <c:auto val="1"/>
        <c:lblOffset val="100"/>
        <c:tickLblSkip val="1"/>
        <c:noMultiLvlLbl val="0"/>
      </c:catAx>
      <c:valAx>
        <c:axId val="63163877"/>
        <c:scaling>
          <c:orientation val="minMax"/>
          <c:max val="190"/>
          <c:min val="10"/>
        </c:scaling>
        <c:axPos val="b"/>
        <c:majorGridlines>
          <c:spPr>
            <a:ln w="12700">
              <a:pattFill prst="pct50">
                <a:fgClr>
                  <a:srgbClr val="000000"/>
                </a:fgClr>
                <a:bgClr>
                  <a:srgbClr val="FFFFFF"/>
                </a:bgClr>
              </a:pattFill>
            </a:ln>
          </c:spPr>
        </c:majorGridlines>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66670532"/>
        <c:crossesAt val="1"/>
        <c:crossBetween val="between"/>
        <c:dispUnits/>
        <c:majorUnit val="15"/>
      </c:valAx>
      <c:spPr>
        <a:noFill/>
        <a:ln>
          <a:no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05"/>
          <c:w val="0.969"/>
          <c:h val="0.939"/>
        </c:manualLayout>
      </c:layout>
      <c:barChart>
        <c:barDir val="bar"/>
        <c:grouping val="stacked"/>
        <c:varyColors val="0"/>
        <c:ser>
          <c:idx val="0"/>
          <c:order val="0"/>
          <c:tx>
            <c:strRef>
              <c:f>'WJ III Ach Profiles'!$C$134:$C$146</c:f>
              <c:strCache>
                <c:ptCount val="1"/>
                <c:pt idx="0">
                  <c:v>Oral Language () 87 Understanding Directions () 89 103 Listening Comprehension () Understanding Directions () 103 92 87 89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Ach Profiles'!$B$134:$B$146</c:f>
              <c:strCache/>
            </c:strRef>
          </c:cat>
          <c:val>
            <c:numRef>
              <c:f>'WJ III Ach Profiles'!$C$134:$C$146</c:f>
              <c:numCache/>
            </c:numRef>
          </c:val>
        </c:ser>
        <c:ser>
          <c:idx val="1"/>
          <c:order val="1"/>
          <c:tx>
            <c:strRef>
              <c:f>'WJ III Ach Profiles'!$D$134:$D$146</c:f>
              <c:strCache>
                <c:ptCount val="1"/>
                <c:pt idx="0">
                  <c:v>Oral Language () 44 Understanding Directions () 20 20 Listening Comprehension () Understanding Directions () 20 20 44 20</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Ach Profiles'!$B$134:$B$146</c:f>
              <c:strCache/>
            </c:strRef>
          </c:cat>
          <c:val>
            <c:numRef>
              <c:f>'WJ III Ach Profiles'!$D$134:$D$146</c:f>
              <c:numCache/>
            </c:numRef>
          </c:val>
        </c:ser>
        <c:ser>
          <c:idx val="2"/>
          <c:order val="2"/>
          <c:tx>
            <c:strRef>
              <c:f>'WJ III Ach Profiles'!$E$134:$E$146</c:f>
              <c:strCache>
                <c:ptCount val="1"/>
                <c:pt idx="0">
                  <c:v>Oral Language () 69 Understanding Directions () 91 77 Listening Comprehension () Understanding Directions () 77 88 69 91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Ach Profiles'!$B$134:$B$146</c:f>
              <c:strCache/>
            </c:strRef>
          </c:cat>
          <c:val>
            <c:numRef>
              <c:f>'WJ III Ach Profiles'!$E$134:$E$146</c:f>
              <c:numCache/>
            </c:numRef>
          </c:val>
        </c:ser>
        <c:overlap val="100"/>
        <c:axId val="31603982"/>
        <c:axId val="16000383"/>
      </c:barChart>
      <c:catAx>
        <c:axId val="31603982"/>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16000383"/>
        <c:crosses val="autoZero"/>
        <c:auto val="1"/>
        <c:lblOffset val="100"/>
        <c:tickLblSkip val="1"/>
        <c:noMultiLvlLbl val="0"/>
      </c:catAx>
      <c:valAx>
        <c:axId val="16000383"/>
        <c:scaling>
          <c:orientation val="minMax"/>
          <c:max val="190"/>
          <c:min val="10"/>
        </c:scaling>
        <c:axPos val="t"/>
        <c:majorGridlines>
          <c:spPr>
            <a:ln w="12700">
              <a:pattFill prst="pct50">
                <a:fgClr>
                  <a:srgbClr val="000000"/>
                </a:fgClr>
                <a:bgClr>
                  <a:srgbClr val="FFFFFF"/>
                </a:bgClr>
              </a:pattFill>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31603982"/>
        <c:crossesAt val="1"/>
        <c:crossBetween val="between"/>
        <c:dispUnits/>
        <c:majorUnit val="15"/>
      </c:valAx>
      <c:spPr>
        <a:noFill/>
        <a:ln>
          <a:no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32"/>
          <c:w val="0.9695"/>
          <c:h val="0.93625"/>
        </c:manualLayout>
      </c:layout>
      <c:barChart>
        <c:barDir val="bar"/>
        <c:grouping val="stacked"/>
        <c:varyColors val="0"/>
        <c:ser>
          <c:idx val="0"/>
          <c:order val="0"/>
          <c:tx>
            <c:strRef>
              <c:f>'WJ III Ach Profiles'!$C$148:$C$156</c:f>
              <c:strCache>
                <c:ptCount val="1"/>
                <c:pt idx="0">
                  <c:v>89 88 76 95 85 88 76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Ach Profiles'!$B$148:$B$159</c:f>
              <c:strCache/>
            </c:strRef>
          </c:cat>
          <c:val>
            <c:numRef>
              <c:f>'WJ III Ach Profiles'!$C$148:$C$159</c:f>
              <c:numCache/>
            </c:numRef>
          </c:val>
        </c:ser>
        <c:ser>
          <c:idx val="1"/>
          <c:order val="1"/>
          <c:tx>
            <c:strRef>
              <c:f>'WJ III Ach Profiles'!$D$148:$D$156</c:f>
              <c:strCache>
                <c:ptCount val="1"/>
                <c:pt idx="0">
                  <c:v>12 16 12 8 14 16 12</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Ach Profiles'!$B$148:$B$159</c:f>
              <c:strCache/>
            </c:strRef>
          </c:cat>
          <c:val>
            <c:numRef>
              <c:f>'WJ III Ach Profiles'!$D$148:$D$159</c:f>
              <c:numCache/>
            </c:numRef>
          </c:val>
        </c:ser>
        <c:ser>
          <c:idx val="2"/>
          <c:order val="2"/>
          <c:tx>
            <c:strRef>
              <c:f>'WJ III Ach Profiles'!$E$148:$E$156</c:f>
              <c:strCache>
                <c:ptCount val="1"/>
                <c:pt idx="0">
                  <c:v>99 96 112 97 101 96 112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Ach Profiles'!$B$148:$B$159</c:f>
              <c:strCache/>
            </c:strRef>
          </c:cat>
          <c:val>
            <c:numRef>
              <c:f>'WJ III Ach Profiles'!$E$148:$E$159</c:f>
              <c:numCache/>
            </c:numRef>
          </c:val>
        </c:ser>
        <c:overlap val="100"/>
        <c:axId val="9785720"/>
        <c:axId val="20962617"/>
      </c:barChart>
      <c:catAx>
        <c:axId val="9785720"/>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20962617"/>
        <c:crosses val="autoZero"/>
        <c:auto val="1"/>
        <c:lblOffset val="100"/>
        <c:tickLblSkip val="1"/>
        <c:noMultiLvlLbl val="0"/>
      </c:catAx>
      <c:valAx>
        <c:axId val="20962617"/>
        <c:scaling>
          <c:orientation val="minMax"/>
          <c:max val="190"/>
          <c:min val="10"/>
        </c:scaling>
        <c:axPos val="t"/>
        <c:majorGridlines>
          <c:spPr>
            <a:ln w="12700">
              <a:pattFill prst="pct50">
                <a:fgClr>
                  <a:srgbClr val="000000"/>
                </a:fgClr>
                <a:bgClr>
                  <a:srgbClr val="FFFFFF"/>
                </a:bgClr>
              </a:pattFill>
            </a:ln>
          </c:spPr>
        </c:majorGridlines>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9785720"/>
        <c:crossesAt val="1"/>
        <c:crossBetween val="between"/>
        <c:dispUnits/>
        <c:majorUnit val="15"/>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175"/>
          <c:w val="0.96925"/>
          <c:h val="0.9365"/>
        </c:manualLayout>
      </c:layout>
      <c:barChart>
        <c:barDir val="bar"/>
        <c:grouping val="stacked"/>
        <c:varyColors val="0"/>
        <c:ser>
          <c:idx val="0"/>
          <c:order val="0"/>
          <c:tx>
            <c:strRef>
              <c:f>'WJ III Ach Profiles'!$C$161:$C$172</c:f>
              <c:strCache>
                <c:ptCount val="1"/>
                <c:pt idx="0">
                  <c:v>86 89 74 83 97 89 104 82 74 83</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Ach Profiles'!$B$161:$B$172</c:f>
              <c:strCache/>
            </c:strRef>
          </c:cat>
          <c:val>
            <c:numRef>
              <c:f>'WJ III Ach Profiles'!$C$161:$C$172</c:f>
              <c:numCache/>
            </c:numRef>
          </c:val>
        </c:ser>
        <c:ser>
          <c:idx val="1"/>
          <c:order val="1"/>
          <c:tx>
            <c:strRef>
              <c:f>'WJ III Ach Profiles'!$D$161:$D$169</c:f>
              <c:strCache>
                <c:ptCount val="1"/>
                <c:pt idx="0">
                  <c:v>12 12 24 32 14 12 16</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Ach Profiles'!$B$161:$B$172</c:f>
              <c:strCache/>
            </c:strRef>
          </c:cat>
          <c:val>
            <c:numRef>
              <c:f>'WJ III Ach Profiles'!$D$161:$D$172</c:f>
              <c:numCache/>
            </c:numRef>
          </c:val>
        </c:ser>
        <c:ser>
          <c:idx val="2"/>
          <c:order val="2"/>
          <c:tx>
            <c:strRef>
              <c:f>'WJ III Ach Profiles'!$E$161:$E$169</c:f>
              <c:strCache>
                <c:ptCount val="1"/>
                <c:pt idx="0">
                  <c:v>102 99 102 85 89 99 80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Ach Profiles'!$B$161:$B$172</c:f>
              <c:strCache/>
            </c:strRef>
          </c:cat>
          <c:val>
            <c:numRef>
              <c:f>'WJ III Ach Profiles'!$E$161:$E$172</c:f>
              <c:numCache/>
            </c:numRef>
          </c:val>
        </c:ser>
        <c:overlap val="100"/>
        <c:axId val="54445826"/>
        <c:axId val="20250387"/>
      </c:barChart>
      <c:catAx>
        <c:axId val="54445826"/>
        <c:scaling>
          <c:orientation val="minMax"/>
        </c:scaling>
        <c:axPos val="l"/>
        <c:delete val="0"/>
        <c:numFmt formatCode="General" sourceLinked="1"/>
        <c:majorTickMark val="none"/>
        <c:minorTickMark val="none"/>
        <c:tickLblPos val="nextTo"/>
        <c:spPr>
          <a:ln w="12700">
            <a:pattFill prst="pct50">
              <a:fgClr>
                <a:srgbClr val="000000"/>
              </a:fgClr>
              <a:bgClr>
                <a:srgbClr val="FFFFFF"/>
              </a:bgClr>
            </a:pattFill>
          </a:ln>
        </c:spPr>
        <c:txPr>
          <a:bodyPr vert="horz" rot="0"/>
          <a:lstStyle/>
          <a:p>
            <a:pPr>
              <a:defRPr lang="en-US" cap="none" sz="800" b="0" i="0" u="none" baseline="0">
                <a:solidFill>
                  <a:srgbClr val="000000"/>
                </a:solidFill>
              </a:defRPr>
            </a:pPr>
          </a:p>
        </c:txPr>
        <c:crossAx val="20250387"/>
        <c:crosses val="autoZero"/>
        <c:auto val="1"/>
        <c:lblOffset val="100"/>
        <c:tickLblSkip val="1"/>
        <c:noMultiLvlLbl val="0"/>
      </c:catAx>
      <c:valAx>
        <c:axId val="20250387"/>
        <c:scaling>
          <c:orientation val="minMax"/>
          <c:max val="190"/>
          <c:min val="10"/>
        </c:scaling>
        <c:axPos val="b"/>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54445826"/>
        <c:crossesAt val="1"/>
        <c:crossBetween val="between"/>
        <c:dispUnits/>
        <c:majorUnit val="15"/>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4"/>
          <c:h val="0.9505"/>
        </c:manualLayout>
      </c:layout>
      <c:barChart>
        <c:barDir val="bar"/>
        <c:grouping val="stacked"/>
        <c:varyColors val="0"/>
        <c:ser>
          <c:idx val="0"/>
          <c:order val="0"/>
          <c:tx>
            <c:strRef>
              <c:f>'WJ III Ach Profiles'!$C$180:$C$189</c:f>
              <c:strCache>
                <c:ptCount val="1"/>
                <c:pt idx="0">
                  <c:v>83 85 88 89 75 81 76 74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Ach Profiles'!$B$180:$B$194</c:f>
              <c:strCache/>
            </c:strRef>
          </c:cat>
          <c:val>
            <c:numRef>
              <c:f>'WJ III Ach Profiles'!$C$180:$C$193</c:f>
              <c:numCache/>
            </c:numRef>
          </c:val>
        </c:ser>
        <c:ser>
          <c:idx val="1"/>
          <c:order val="1"/>
          <c:tx>
            <c:strRef>
              <c:f>'WJ III Ach Profiles'!$D$180:$D$193</c:f>
              <c:strCache>
                <c:ptCount val="1"/>
                <c:pt idx="0">
                  <c:v>14 8 16 12 14 8 12 24 14 16 8 32</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Ach Profiles'!$B$180:$B$194</c:f>
              <c:strCache/>
            </c:strRef>
          </c:cat>
          <c:val>
            <c:numRef>
              <c:f>'WJ III Ach Profiles'!$D$180:$D$193</c:f>
              <c:numCache/>
            </c:numRef>
          </c:val>
        </c:ser>
        <c:ser>
          <c:idx val="2"/>
          <c:order val="2"/>
          <c:tx>
            <c:strRef>
              <c:f>'WJ III Ach Profiles'!$E$180:$E$193</c:f>
              <c:strCache>
                <c:ptCount val="1"/>
                <c:pt idx="0">
                  <c:v>103 107 96 99 111 111 112 102 97 99 97 85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Ach Profiles'!$B$180:$B$194</c:f>
              <c:strCache/>
            </c:strRef>
          </c:cat>
          <c:val>
            <c:numRef>
              <c:f>'WJ III Ach Profiles'!$E$180:$E$193</c:f>
              <c:numCache/>
            </c:numRef>
          </c:val>
        </c:ser>
        <c:overlap val="100"/>
        <c:axId val="48035756"/>
        <c:axId val="29668621"/>
      </c:barChart>
      <c:catAx>
        <c:axId val="48035756"/>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29668621"/>
        <c:crosses val="autoZero"/>
        <c:auto val="1"/>
        <c:lblOffset val="100"/>
        <c:tickLblSkip val="1"/>
        <c:noMultiLvlLbl val="0"/>
      </c:catAx>
      <c:valAx>
        <c:axId val="29668621"/>
        <c:scaling>
          <c:orientation val="minMax"/>
          <c:max val="190"/>
          <c:min val="10"/>
        </c:scaling>
        <c:axPos val="t"/>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48035756"/>
        <c:crossesAt val="1"/>
        <c:crossBetween val="between"/>
        <c:dispUnits/>
        <c:majorUnit val="15"/>
      </c:valAx>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
          <c:w val="0.9675"/>
          <c:h val="0.96"/>
        </c:manualLayout>
      </c:layout>
      <c:barChart>
        <c:barDir val="bar"/>
        <c:grouping val="stacked"/>
        <c:varyColors val="0"/>
        <c:ser>
          <c:idx val="0"/>
          <c:order val="0"/>
          <c:tx>
            <c:strRef>
              <c:f>'WJ III ACH RPI'!$C$52:$C$72</c:f>
              <c:strCache>
                <c:ptCount val="1"/>
                <c:pt idx="0">
                  <c:v>0 0 0 0 0 0 0 0 0 0 0 0 0 0 0 0 0</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ACH RPI'!$B$52:$B$72</c:f>
              <c:strCache/>
            </c:strRef>
          </c:cat>
          <c:val>
            <c:numRef>
              <c:f>'WJ III ACH RPI'!$C$52:$C$72</c:f>
              <c:numCache/>
            </c:numRef>
          </c:val>
        </c:ser>
        <c:ser>
          <c:idx val="1"/>
          <c:order val="1"/>
          <c:tx>
            <c:strRef>
              <c:f>'WJ III ACH RPI'!$D$52:$D$72</c:f>
              <c:strCache>
                <c:ptCount val="1"/>
                <c:pt idx="0">
                  <c:v>1 1 1 1 1 1 1 1 1 1 1 1 1 1 1 1 1</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ACH RPI'!$B$52:$B$72</c:f>
              <c:strCache/>
            </c:strRef>
          </c:cat>
          <c:val>
            <c:numRef>
              <c:f>'WJ III ACH RPI'!$D$52:$D$72</c:f>
              <c:numCache/>
            </c:numRef>
          </c:val>
        </c:ser>
        <c:ser>
          <c:idx val="2"/>
          <c:order val="2"/>
          <c:tx>
            <c:strRef>
              <c:f>'WJ III ACH RPI'!$E$52:$E$72</c:f>
              <c:strCache>
                <c:ptCount val="1"/>
                <c:pt idx="0">
                  <c:v>99 99 99 99 99 99 99 99 99 99 99 99 99 99 99 99 99</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ACH RPI'!$B$52:$B$72</c:f>
              <c:strCache/>
            </c:strRef>
          </c:cat>
          <c:val>
            <c:numRef>
              <c:f>'WJ III ACH RPI'!$E$52:$E$72</c:f>
              <c:numCache/>
            </c:numRef>
          </c:val>
        </c:ser>
        <c:overlap val="100"/>
        <c:axId val="65690998"/>
        <c:axId val="54348071"/>
      </c:barChart>
      <c:catAx>
        <c:axId val="65690998"/>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348071"/>
        <c:crosses val="autoZero"/>
        <c:auto val="1"/>
        <c:lblOffset val="100"/>
        <c:tickLblSkip val="1"/>
        <c:noMultiLvlLbl val="0"/>
      </c:catAx>
      <c:valAx>
        <c:axId val="54348071"/>
        <c:scaling>
          <c:orientation val="minMax"/>
          <c:max val="100"/>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690998"/>
        <c:crossesAt val="1"/>
        <c:crossBetween val="between"/>
        <c:dispUnits/>
        <c:majorUnit val="1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Verbal vs Performance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'WJ III COG'!$V$1:$V$19</c:f>
            </c:strRef>
          </c:cat>
          <c:val>
            <c:numRef>
              <c:f>'WJ III COG'!$W$1:$W$19</c:f>
            </c:numRef>
          </c:val>
          <c:smooth val="0"/>
        </c:ser>
        <c:marker val="1"/>
        <c:axId val="59261964"/>
        <c:axId val="63595629"/>
      </c:lineChart>
      <c:catAx>
        <c:axId val="59261964"/>
        <c:scaling>
          <c:orientation val="minMax"/>
        </c:scaling>
        <c:axPos val="b"/>
        <c:delete val="0"/>
        <c:numFmt formatCode="General" sourceLinked="1"/>
        <c:majorTickMark val="cross"/>
        <c:minorTickMark val="none"/>
        <c:tickLblPos val="nextTo"/>
        <c:spPr>
          <a:ln w="3175">
            <a:solidFill>
              <a:srgbClr val="000000"/>
            </a:solidFill>
          </a:ln>
        </c:spPr>
        <c:txPr>
          <a:bodyPr vert="wordArtVert" rot="0"/>
          <a:lstStyle/>
          <a:p>
            <a:pPr>
              <a:defRPr lang="en-US" cap="none" sz="1000" b="0" i="0" u="none" baseline="0">
                <a:solidFill>
                  <a:srgbClr val="000000"/>
                </a:solidFill>
                <a:latin typeface="Geneva"/>
                <a:ea typeface="Geneva"/>
                <a:cs typeface="Geneva"/>
              </a:defRPr>
            </a:pPr>
          </a:p>
        </c:txPr>
        <c:crossAx val="63595629"/>
        <c:crosses val="autoZero"/>
        <c:auto val="0"/>
        <c:lblOffset val="100"/>
        <c:tickLblSkip val="3"/>
        <c:noMultiLvlLbl val="0"/>
      </c:catAx>
      <c:valAx>
        <c:axId val="63595629"/>
        <c:scaling>
          <c:orientation val="minMax"/>
          <c:max val="19"/>
          <c:min val="0"/>
        </c:scaling>
        <c:axPos val="l"/>
        <c:title>
          <c:tx>
            <c:rich>
              <a:bodyPr vert="horz" rot="-5400000" anchor="ctr"/>
              <a:lstStyle/>
              <a:p>
                <a:pPr algn="ctr">
                  <a:defRPr/>
                </a:pPr>
                <a:r>
                  <a:rPr lang="en-US" cap="none" sz="1000" b="1" i="0" u="none" baseline="0">
                    <a:solidFill>
                      <a:srgbClr val="000000"/>
                    </a:solidFill>
                    <a:latin typeface="Geneva"/>
                    <a:ea typeface="Geneva"/>
                    <a:cs typeface="Geneva"/>
                  </a:rPr>
                  <a:t>scale score</a:t>
                </a:r>
              </a:p>
            </c:rich>
          </c:tx>
          <c:layout/>
          <c:overlay val="0"/>
          <c:spPr>
            <a:noFill/>
            <a:ln>
              <a:noFill/>
            </a:ln>
          </c:spPr>
        </c:title>
        <c:delete val="0"/>
        <c:numFmt formatCode="General" sourceLinked="1"/>
        <c:majorTickMark val="cross"/>
        <c:minorTickMark val="none"/>
        <c:tickLblPos val="nextTo"/>
        <c:spPr>
          <a:ln w="3175">
            <a:solidFill>
              <a:srgbClr val="000000"/>
            </a:solidFill>
          </a:ln>
        </c:spPr>
        <c:crossAx val="59261964"/>
        <c:crossesAt val="1"/>
        <c:crossBetween val="midCat"/>
        <c:dispUnits/>
        <c:majorUnit val="2"/>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Motor Component Subtests</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'WJ III COG'!#REF!</c:f>
              <c:strCache>
                <c:ptCount val="1"/>
                <c:pt idx="0">
                  <c:v>1</c:v>
                </c:pt>
              </c:strCache>
            </c:strRef>
          </c:cat>
          <c:val>
            <c:numRef>
              <c:f>'WJ III COG'!#REF!</c:f>
              <c:numCache>
                <c:ptCount val="1"/>
                <c:pt idx="0">
                  <c:v>1</c:v>
                </c:pt>
              </c:numCache>
            </c:numRef>
          </c:val>
          <c:smooth val="0"/>
        </c:ser>
        <c:marker val="1"/>
        <c:axId val="35489750"/>
        <c:axId val="50972295"/>
      </c:lineChart>
      <c:catAx>
        <c:axId val="35489750"/>
        <c:scaling>
          <c:orientation val="minMax"/>
        </c:scaling>
        <c:axPos val="b"/>
        <c:delete val="0"/>
        <c:numFmt formatCode="General" sourceLinked="1"/>
        <c:majorTickMark val="cross"/>
        <c:minorTickMark val="none"/>
        <c:tickLblPos val="nextTo"/>
        <c:spPr>
          <a:ln w="3175">
            <a:solidFill>
              <a:srgbClr val="000000"/>
            </a:solidFill>
          </a:ln>
        </c:spPr>
        <c:crossAx val="50972295"/>
        <c:crosses val="autoZero"/>
        <c:auto val="0"/>
        <c:lblOffset val="100"/>
        <c:tickLblSkip val="1"/>
        <c:noMultiLvlLbl val="0"/>
      </c:catAx>
      <c:valAx>
        <c:axId val="50972295"/>
        <c:scaling>
          <c:orientation val="minMax"/>
          <c:max val="19"/>
          <c:min val="0"/>
        </c:scaling>
        <c:axPos val="l"/>
        <c:title>
          <c:tx>
            <c:rich>
              <a:bodyPr vert="horz" rot="-5400000" anchor="ctr"/>
              <a:lstStyle/>
              <a:p>
                <a:pPr algn="ctr">
                  <a:defRPr/>
                </a:pPr>
                <a:r>
                  <a:rPr lang="en-US" cap="none" sz="1000" b="1" i="0" u="none" baseline="0">
                    <a:solidFill>
                      <a:srgbClr val="000000"/>
                    </a:solidFill>
                    <a:latin typeface="Geneva"/>
                    <a:ea typeface="Geneva"/>
                    <a:cs typeface="Geneva"/>
                  </a:rPr>
                  <a:t>Scale Score</a:t>
                </a:r>
              </a:p>
            </c:rich>
          </c:tx>
          <c:layout/>
          <c:overlay val="0"/>
          <c:spPr>
            <a:noFill/>
            <a:ln>
              <a:noFill/>
            </a:ln>
          </c:spPr>
        </c:title>
        <c:delete val="0"/>
        <c:numFmt formatCode="General" sourceLinked="1"/>
        <c:majorTickMark val="cross"/>
        <c:minorTickMark val="none"/>
        <c:tickLblPos val="nextTo"/>
        <c:spPr>
          <a:ln w="3175">
            <a:solidFill>
              <a:srgbClr val="000000"/>
            </a:solidFill>
          </a:ln>
        </c:spPr>
        <c:crossAx val="35489750"/>
        <c:crossesAt val="1"/>
        <c:crossBetween val="midCat"/>
        <c:dispUnits/>
        <c:majorUnit val="2"/>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IQ and Index Chart</a:t>
            </a:r>
          </a:p>
        </c:rich>
      </c:tx>
      <c:layout/>
      <c:spPr>
        <a:noFill/>
        <a:ln>
          <a:noFill/>
        </a:ln>
      </c:spPr>
    </c:title>
    <c:plotArea>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'WJ III COG'!$AJ$18:$AJ$24</c:f>
            </c:numRef>
          </c:cat>
          <c:val>
            <c:numRef>
              <c:f>'WJ III COG'!$AK$18:$AK$24</c:f>
            </c:numRef>
          </c:val>
        </c:ser>
        <c:gapWidth val="50"/>
        <c:axId val="56097472"/>
        <c:axId val="35115201"/>
      </c:barChart>
      <c:catAx>
        <c:axId val="56097472"/>
        <c:scaling>
          <c:orientation val="minMax"/>
        </c:scaling>
        <c:axPos val="b"/>
        <c:delete val="0"/>
        <c:numFmt formatCode="General" sourceLinked="1"/>
        <c:majorTickMark val="cross"/>
        <c:minorTickMark val="none"/>
        <c:tickLblPos val="nextTo"/>
        <c:spPr>
          <a:ln w="3175">
            <a:solidFill>
              <a:srgbClr val="000000"/>
            </a:solidFill>
          </a:ln>
        </c:spPr>
        <c:crossAx val="35115201"/>
        <c:crosses val="autoZero"/>
        <c:auto val="0"/>
        <c:lblOffset val="100"/>
        <c:tickLblSkip val="1"/>
        <c:noMultiLvlLbl val="0"/>
      </c:catAx>
      <c:valAx>
        <c:axId val="35115201"/>
        <c:scaling>
          <c:orientation val="minMax"/>
        </c:scaling>
        <c:axPos val="l"/>
        <c:delete val="0"/>
        <c:numFmt formatCode="General" sourceLinked="1"/>
        <c:majorTickMark val="cross"/>
        <c:minorTickMark val="none"/>
        <c:tickLblPos val="nextTo"/>
        <c:spPr>
          <a:ln w="3175">
            <a:solidFill>
              <a:srgbClr val="000000"/>
            </a:solidFill>
          </a:ln>
        </c:spPr>
        <c:crossAx val="56097472"/>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WJ III COG </a:t>
            </a:r>
          </a:p>
        </c:rich>
      </c:tx>
      <c:layout>
        <c:manualLayout>
          <c:xMode val="factor"/>
          <c:yMode val="factor"/>
          <c:x val="0.001"/>
          <c:y val="0"/>
        </c:manualLayout>
      </c:layout>
      <c:spPr>
        <a:noFill/>
        <a:ln>
          <a:noFill/>
        </a:ln>
      </c:spPr>
    </c:title>
    <c:plotArea>
      <c:layout>
        <c:manualLayout>
          <c:xMode val="edge"/>
          <c:yMode val="edge"/>
          <c:x val="0.03775"/>
          <c:y val="0.103"/>
          <c:w val="0.95"/>
          <c:h val="0.84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'WJ III COG'!$B$24:$B$58</c:f>
              <c:strCache>
                <c:ptCount val="31"/>
                <c:pt idx="0">
                  <c:v>GIA</c:v>
                </c:pt>
                <c:pt idx="1">
                  <c:v>0</c:v>
                </c:pt>
                <c:pt idx="2">
                  <c:v>0</c:v>
                </c:pt>
                <c:pt idx="3">
                  <c:v>Verbal Ability (Ext)</c:v>
                </c:pt>
                <c:pt idx="4">
                  <c:v>Thinking Ability (Ext)</c:v>
                </c:pt>
                <c:pt idx="5">
                  <c:v>Thinking Ability (LV)</c:v>
                </c:pt>
                <c:pt idx="6">
                  <c:v>Cognitive Efficiency (Ext)</c:v>
                </c:pt>
                <c:pt idx="7">
                  <c:v>0</c:v>
                </c:pt>
                <c:pt idx="8">
                  <c:v>Comprehension-Knowledge (Gc):</c:v>
                </c:pt>
                <c:pt idx="9">
                  <c:v>Long-term Retrieval (Glr):</c:v>
                </c:pt>
                <c:pt idx="10">
                  <c:v>Visual Spatial Thinking (Gv):</c:v>
                </c:pt>
                <c:pt idx="11">
                  <c:v>Visual Spatial Thinking 3 (Gv3):</c:v>
                </c:pt>
                <c:pt idx="12">
                  <c:v>Auditory Processing (Ga):</c:v>
                </c:pt>
                <c:pt idx="13">
                  <c:v>Fluid Reasoning (Gf):</c:v>
                </c:pt>
                <c:pt idx="14">
                  <c:v>Fluid Reasoning 3 (Gf3):</c:v>
                </c:pt>
                <c:pt idx="15">
                  <c:v>Processing Speed (Gs):</c:v>
                </c:pt>
                <c:pt idx="16">
                  <c:v>Short-Term Memory (Gsm):</c:v>
                </c:pt>
                <c:pt idx="17">
                  <c:v>0</c:v>
                </c:pt>
                <c:pt idx="18">
                  <c:v>Phonemic Awareness:</c:v>
                </c:pt>
                <c:pt idx="19">
                  <c:v>Phonemic Awareness III:</c:v>
                </c:pt>
                <c:pt idx="20">
                  <c:v>Working Memory:</c:v>
                </c:pt>
                <c:pt idx="21">
                  <c:v>Broad Attention:</c:v>
                </c:pt>
                <c:pt idx="22">
                  <c:v>Cognitive Fluency:</c:v>
                </c:pt>
                <c:pt idx="23">
                  <c:v>Executive Processes:</c:v>
                </c:pt>
                <c:pt idx="24">
                  <c:v>Numerical Reasoning:</c:v>
                </c:pt>
                <c:pt idx="25">
                  <c:v>Associative Memory:</c:v>
                </c:pt>
                <c:pt idx="26">
                  <c:v>Visualization:</c:v>
                </c:pt>
                <c:pt idx="27">
                  <c:v>Sound Discrimination:</c:v>
                </c:pt>
                <c:pt idx="28">
                  <c:v>Auditory Memory Span:</c:v>
                </c:pt>
                <c:pt idx="29">
                  <c:v>Perceptual Speed:</c:v>
                </c:pt>
                <c:pt idx="30">
                  <c:v>Knowledge:</c:v>
                </c:pt>
              </c:strCache>
            </c:strRef>
          </c:cat>
          <c:val>
            <c:numRef>
              <c:f>'WJ III COG'!$C$24:$C$58</c:f>
              <c:numCache>
                <c:ptCount val="32"/>
                <c:pt idx="0">
                  <c:v>105</c:v>
                </c:pt>
                <c:pt idx="3">
                  <c:v>115</c:v>
                </c:pt>
                <c:pt idx="4">
                  <c:v>105</c:v>
                </c:pt>
                <c:pt idx="6">
                  <c:v>100</c:v>
                </c:pt>
                <c:pt idx="8">
                  <c:v>115</c:v>
                </c:pt>
                <c:pt idx="9">
                  <c:v>83</c:v>
                </c:pt>
                <c:pt idx="10">
                  <c:v>94</c:v>
                </c:pt>
                <c:pt idx="12">
                  <c:v>114</c:v>
                </c:pt>
                <c:pt idx="13">
                  <c:v>107</c:v>
                </c:pt>
                <c:pt idx="15">
                  <c:v>100</c:v>
                </c:pt>
                <c:pt idx="16">
                  <c:v>100</c:v>
                </c:pt>
                <c:pt idx="18">
                  <c:v>123</c:v>
                </c:pt>
                <c:pt idx="19">
                  <c:v>111</c:v>
                </c:pt>
                <c:pt idx="20">
                  <c:v>93</c:v>
                </c:pt>
                <c:pt idx="21">
                  <c:v>88</c:v>
                </c:pt>
                <c:pt idx="22">
                  <c:v>82</c:v>
                </c:pt>
                <c:pt idx="23">
                  <c:v>94</c:v>
                </c:pt>
                <c:pt idx="25">
                  <c:v>71</c:v>
                </c:pt>
                <c:pt idx="29">
                  <c:v>90</c:v>
                </c:pt>
                <c:pt idx="30">
                  <c:v>104</c:v>
                </c:pt>
              </c:numCache>
            </c:numRef>
          </c:val>
          <c:smooth val="0"/>
        </c:ser>
        <c:marker val="1"/>
        <c:axId val="47601354"/>
        <c:axId val="25759003"/>
      </c:lineChart>
      <c:catAx>
        <c:axId val="47601354"/>
        <c:scaling>
          <c:orientation val="minMax"/>
        </c:scaling>
        <c:axPos val="b"/>
        <c:title>
          <c:tx>
            <c:rich>
              <a:bodyPr vert="horz" rot="0" anchor="ctr"/>
              <a:lstStyle/>
              <a:p>
                <a:pPr algn="ctr">
                  <a:defRPr/>
                </a:pPr>
                <a:r>
                  <a:rPr lang="en-US" cap="none" sz="1000" b="1" i="0" u="none" baseline="0">
                    <a:solidFill>
                      <a:srgbClr val="000000"/>
                    </a:solidFill>
                  </a:rPr>
                  <a:t>Categories, Factors, and Clusters</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25759003"/>
        <c:crosses val="autoZero"/>
        <c:auto val="1"/>
        <c:lblOffset val="100"/>
        <c:tickLblSkip val="1"/>
        <c:noMultiLvlLbl val="0"/>
      </c:catAx>
      <c:valAx>
        <c:axId val="25759003"/>
        <c:scaling>
          <c:orientation val="minMax"/>
        </c:scaling>
        <c:axPos val="l"/>
        <c:title>
          <c:tx>
            <c:rich>
              <a:bodyPr vert="horz" rot="-5400000" anchor="ctr"/>
              <a:lstStyle/>
              <a:p>
                <a:pPr algn="ctr">
                  <a:defRPr/>
                </a:pPr>
                <a:r>
                  <a:rPr lang="en-US" cap="none" sz="1000" b="1" i="0" u="none" baseline="0">
                    <a:solidFill>
                      <a:srgbClr val="000000"/>
                    </a:solidFill>
                  </a:rPr>
                  <a:t>Standard Scores</a:t>
                </a:r>
              </a:p>
            </c:rich>
          </c:tx>
          <c:layout>
            <c:manualLayout>
              <c:xMode val="factor"/>
              <c:yMode val="factor"/>
              <c:x val="-0.001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601354"/>
        <c:crossesAt val="1"/>
        <c:crossBetween val="between"/>
        <c:dispUnits/>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1275"/>
          <c:w val="0.97525"/>
          <c:h val="0.974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Cog Profiles'!$B$71:$B$105</c:f>
              <c:strCache/>
            </c:strRef>
          </c:cat>
          <c:val>
            <c:numRef>
              <c:f>'WJ III Cog Profiles'!$C$71:$C$105</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Cog Profiles'!$B$71:$B$105</c:f>
              <c:strCache/>
            </c:strRef>
          </c:cat>
          <c:val>
            <c:numRef>
              <c:f>'WJ III Cog Profiles'!$D$71:$D$105</c:f>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Cog Profiles'!$B$71:$B$105</c:f>
              <c:strCache/>
            </c:strRef>
          </c:cat>
          <c:val>
            <c:numRef>
              <c:f>'WJ III Cog Profiles'!$E$71:$E$105</c:f>
              <c:numCache/>
            </c:numRef>
          </c:val>
        </c:ser>
        <c:overlap val="100"/>
        <c:axId val="30504436"/>
        <c:axId val="6104469"/>
      </c:barChart>
      <c:catAx>
        <c:axId val="30504436"/>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6104469"/>
        <c:crosses val="autoZero"/>
        <c:auto val="1"/>
        <c:lblOffset val="100"/>
        <c:tickLblSkip val="1"/>
        <c:noMultiLvlLbl val="0"/>
      </c:catAx>
      <c:valAx>
        <c:axId val="6104469"/>
        <c:scaling>
          <c:orientation val="minMax"/>
          <c:max val="190"/>
          <c:min val="10"/>
        </c:scaling>
        <c:axPos val="b"/>
        <c:majorGridlines>
          <c:spPr>
            <a:ln w="12700">
              <a:pattFill prst="pct50">
                <a:fgClr>
                  <a:srgbClr val="000000"/>
                </a:fgClr>
                <a:bgClr>
                  <a:srgbClr val="FFFFFF"/>
                </a:bgClr>
              </a:pattFill>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30504436"/>
        <c:crossesAt val="1"/>
        <c:crossBetween val="between"/>
        <c:dispUnits/>
        <c:majorUnit val="15"/>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1275"/>
          <c:w val="0.97525"/>
          <c:h val="0.974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Cog Profiles'!$B$71:$B$105</c:f>
              <c:strCache/>
            </c:strRef>
          </c:cat>
          <c:val>
            <c:numRef>
              <c:f>'WJ III Cog Profiles'!$C$71:$C$105</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Cog Profiles'!$B$71:$B$105</c:f>
              <c:strCache/>
            </c:strRef>
          </c:cat>
          <c:val>
            <c:numRef>
              <c:f>'WJ III Cog Profiles'!$D$71:$D$105</c:f>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'WJ III Cog Profiles'!$B$71:$B$105</c:f>
              <c:strCache/>
            </c:strRef>
          </c:cat>
          <c:val>
            <c:numRef>
              <c:f>'WJ III Cog Profiles'!$E$71:$E$105</c:f>
              <c:numCache/>
            </c:numRef>
          </c:val>
        </c:ser>
        <c:overlap val="100"/>
        <c:axId val="54940222"/>
        <c:axId val="24699951"/>
      </c:barChart>
      <c:catAx>
        <c:axId val="54940222"/>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24699951"/>
        <c:crosses val="autoZero"/>
        <c:auto val="1"/>
        <c:lblOffset val="100"/>
        <c:tickLblSkip val="1"/>
        <c:noMultiLvlLbl val="0"/>
      </c:catAx>
      <c:valAx>
        <c:axId val="24699951"/>
        <c:scaling>
          <c:orientation val="minMax"/>
          <c:max val="190"/>
          <c:min val="10"/>
        </c:scaling>
        <c:axPos val="b"/>
        <c:majorGridlines>
          <c:spPr>
            <a:ln w="12700">
              <a:pattFill prst="pct50">
                <a:fgClr>
                  <a:srgbClr val="000000"/>
                </a:fgClr>
                <a:bgClr>
                  <a:srgbClr val="FFFFFF"/>
                </a:bgClr>
              </a:pattFill>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54940222"/>
        <c:crossesAt val="1"/>
        <c:crossBetween val="between"/>
        <c:dispUnits/>
        <c:majorUnit val="15"/>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275"/>
          <c:w val="0.9765"/>
          <c:h val="0.9745"/>
        </c:manualLayout>
      </c:layout>
      <c:barChart>
        <c:barDir val="bar"/>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Cog RPI'!$B$69:$B$103</c:f>
              <c:strCache/>
            </c:strRef>
          </c:cat>
          <c:val>
            <c:numRef>
              <c:f>'WJ III Cog RPI'!$C$69:$C$103</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Cog RPI'!$B$69:$B$103</c:f>
              <c:strCache/>
            </c:strRef>
          </c:cat>
          <c:val>
            <c:numRef>
              <c:f>'WJ III Cog RPI'!$D$69:$D$103</c:f>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'WJ III Cog RPI'!$B$69:$B$103</c:f>
              <c:strCache/>
            </c:strRef>
          </c:cat>
          <c:val>
            <c:numRef>
              <c:f>'WJ III Cog RPI'!$E$69:$E$103</c:f>
              <c:numCache/>
            </c:numRef>
          </c:val>
        </c:ser>
        <c:overlap val="100"/>
        <c:axId val="20972968"/>
        <c:axId val="54538985"/>
      </c:barChart>
      <c:catAx>
        <c:axId val="2097296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538985"/>
        <c:crosses val="autoZero"/>
        <c:auto val="1"/>
        <c:lblOffset val="100"/>
        <c:tickLblSkip val="1"/>
        <c:noMultiLvlLbl val="0"/>
      </c:catAx>
      <c:valAx>
        <c:axId val="54538985"/>
        <c:scaling>
          <c:orientation val="minMax"/>
          <c:max val="100"/>
        </c:scaling>
        <c:axPos val="b"/>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20972968"/>
        <c:crossesAt val="1"/>
        <c:crossBetween val="between"/>
        <c:dispUnits/>
        <c:majorUnit val="1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7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Order of Administration</a:t>
            </a:r>
          </a:p>
        </c:rich>
      </c:tx>
      <c:layout/>
      <c:spPr>
        <a:noFill/>
        <a:ln>
          <a:noFill/>
        </a:ln>
      </c:spPr>
    </c:title>
    <c:plotArea>
      <c:layout/>
      <c:lineChart>
        <c:grouping val="standard"/>
        <c:varyColors val="0"/>
        <c:ser>
          <c:idx val="0"/>
          <c:order val="0"/>
          <c:tx>
            <c:strRef>
              <c:f>'WJ III COG'!#REF!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'WJ III COG'!$A$8:$N$8</c:f>
              <c:strCache>
                <c:ptCount val="14"/>
                <c:pt idx="1">
                  <c:v>VComp</c:v>
                </c:pt>
                <c:pt idx="2">
                  <c:v>VAL</c:v>
                </c:pt>
                <c:pt idx="3">
                  <c:v>Sp Rel</c:v>
                </c:pt>
                <c:pt idx="4">
                  <c:v>Snd Bld</c:v>
                </c:pt>
                <c:pt idx="5">
                  <c:v>Con Form</c:v>
                </c:pt>
                <c:pt idx="6">
                  <c:v>Vis M</c:v>
                </c:pt>
                <c:pt idx="7">
                  <c:v>Num Rev</c:v>
                </c:pt>
                <c:pt idx="8">
                  <c:v>Inc W</c:v>
                </c:pt>
                <c:pt idx="9">
                  <c:v>Aud Wk M</c:v>
                </c:pt>
                <c:pt idx="10">
                  <c:v>VAL del z</c:v>
                </c:pt>
              </c:strCache>
            </c:strRef>
          </c:cat>
          <c:val>
            <c:numRef>
              <c:f>'WJ III COG'!$A$9:$N$9</c:f>
              <c:numCache>
                <c:ptCount val="14"/>
                <c:pt idx="0">
                  <c:v>0</c:v>
                </c:pt>
                <c:pt idx="1">
                  <c:v>115</c:v>
                </c:pt>
                <c:pt idx="2">
                  <c:v>74</c:v>
                </c:pt>
                <c:pt idx="3">
                  <c:v>92</c:v>
                </c:pt>
                <c:pt idx="4">
                  <c:v>122</c:v>
                </c:pt>
                <c:pt idx="5">
                  <c:v>105</c:v>
                </c:pt>
                <c:pt idx="6">
                  <c:v>106</c:v>
                </c:pt>
                <c:pt idx="7">
                  <c:v>80</c:v>
                </c:pt>
                <c:pt idx="8">
                  <c:v>115</c:v>
                </c:pt>
                <c:pt idx="9">
                  <c:v>115</c:v>
                </c:pt>
                <c:pt idx="10">
                  <c:v>47</c:v>
                </c:pt>
              </c:numCache>
            </c:numRef>
          </c:val>
          <c:smooth val="0"/>
        </c:ser>
        <c:ser>
          <c:idx val="1"/>
          <c:order val="1"/>
          <c:tx>
            <c:strRef>
              <c:f>'WJ III COG'!#REF!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0000"/>
                </a:solidFill>
              </a:ln>
            </c:spPr>
          </c:marker>
          <c:cat>
            <c:strRef>
              <c:f>'WJ III COG'!$A$8:$N$8</c:f>
              <c:strCache>
                <c:ptCount val="14"/>
                <c:pt idx="1">
                  <c:v>VComp</c:v>
                </c:pt>
                <c:pt idx="2">
                  <c:v>VAL</c:v>
                </c:pt>
                <c:pt idx="3">
                  <c:v>Sp Rel</c:v>
                </c:pt>
                <c:pt idx="4">
                  <c:v>Snd Bld</c:v>
                </c:pt>
                <c:pt idx="5">
                  <c:v>Con Form</c:v>
                </c:pt>
                <c:pt idx="6">
                  <c:v>Vis M</c:v>
                </c:pt>
                <c:pt idx="7">
                  <c:v>Num Rev</c:v>
                </c:pt>
                <c:pt idx="8">
                  <c:v>Inc W</c:v>
                </c:pt>
                <c:pt idx="9">
                  <c:v>Aud Wk M</c:v>
                </c:pt>
                <c:pt idx="10">
                  <c:v>VAL del z</c:v>
                </c:pt>
              </c:strCache>
            </c:strRef>
          </c:cat>
          <c:val>
            <c:numRef>
              <c:f>'WJ III COG'!$A$9:$N$9</c:f>
              <c:numCache>
                <c:ptCount val="14"/>
                <c:pt idx="0">
                  <c:v>0</c:v>
                </c:pt>
                <c:pt idx="1">
                  <c:v>115</c:v>
                </c:pt>
                <c:pt idx="2">
                  <c:v>74</c:v>
                </c:pt>
                <c:pt idx="3">
                  <c:v>92</c:v>
                </c:pt>
                <c:pt idx="4">
                  <c:v>122</c:v>
                </c:pt>
                <c:pt idx="5">
                  <c:v>105</c:v>
                </c:pt>
                <c:pt idx="6">
                  <c:v>106</c:v>
                </c:pt>
                <c:pt idx="7">
                  <c:v>80</c:v>
                </c:pt>
                <c:pt idx="8">
                  <c:v>115</c:v>
                </c:pt>
                <c:pt idx="9">
                  <c:v>115</c:v>
                </c:pt>
                <c:pt idx="10">
                  <c:v>47</c:v>
                </c:pt>
              </c:numCache>
            </c:numRef>
          </c:val>
          <c:smooth val="0"/>
        </c:ser>
        <c:marker val="1"/>
        <c:axId val="21088818"/>
        <c:axId val="55581635"/>
      </c:lineChart>
      <c:catAx>
        <c:axId val="21088818"/>
        <c:scaling>
          <c:orientation val="minMax"/>
        </c:scaling>
        <c:axPos val="b"/>
        <c:delete val="0"/>
        <c:numFmt formatCode="General" sourceLinked="1"/>
        <c:majorTickMark val="cross"/>
        <c:minorTickMark val="none"/>
        <c:tickLblPos val="nextTo"/>
        <c:spPr>
          <a:ln w="3175">
            <a:solidFill>
              <a:srgbClr val="000000"/>
            </a:solidFill>
          </a:ln>
        </c:spPr>
        <c:txPr>
          <a:bodyPr vert="wordArtVert" rot="0"/>
          <a:lstStyle/>
          <a:p>
            <a:pPr>
              <a:defRPr lang="en-US" cap="none" sz="1000" b="0" i="0" u="none" baseline="0">
                <a:solidFill>
                  <a:srgbClr val="000000"/>
                </a:solidFill>
                <a:latin typeface="Geneva"/>
                <a:ea typeface="Geneva"/>
                <a:cs typeface="Geneva"/>
              </a:defRPr>
            </a:pPr>
          </a:p>
        </c:txPr>
        <c:crossAx val="55581635"/>
        <c:crosses val="autoZero"/>
        <c:auto val="0"/>
        <c:lblOffset val="100"/>
        <c:tickLblSkip val="2"/>
        <c:noMultiLvlLbl val="0"/>
      </c:catAx>
      <c:valAx>
        <c:axId val="55581635"/>
        <c:scaling>
          <c:orientation val="minMax"/>
          <c:max val="19"/>
          <c:min val="0"/>
        </c:scaling>
        <c:axPos val="l"/>
        <c:delete val="0"/>
        <c:numFmt formatCode="General" sourceLinked="1"/>
        <c:majorTickMark val="cross"/>
        <c:minorTickMark val="none"/>
        <c:tickLblPos val="nextTo"/>
        <c:spPr>
          <a:ln w="3175">
            <a:solidFill>
              <a:srgbClr val="000000"/>
            </a:solidFill>
          </a:ln>
        </c:spPr>
        <c:crossAx val="21088818"/>
        <c:crossesAt val="1"/>
        <c:crossBetween val="midCat"/>
        <c:dispUnits/>
        <c:majorUnit val="2"/>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tabColor indexed="25"/>
  </sheetPr>
  <sheetViews>
    <sheetView workbookViewId="0" zoomScale="75"/>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428</xdr:row>
      <xdr:rowOff>0</xdr:rowOff>
    </xdr:from>
    <xdr:to>
      <xdr:col>6</xdr:col>
      <xdr:colOff>361950</xdr:colOff>
      <xdr:row>428</xdr:row>
      <xdr:rowOff>0</xdr:rowOff>
    </xdr:to>
    <xdr:graphicFrame>
      <xdr:nvGraphicFramePr>
        <xdr:cNvPr id="1" name="Chart 2"/>
        <xdr:cNvGraphicFramePr/>
      </xdr:nvGraphicFramePr>
      <xdr:xfrm>
        <a:off x="9525" y="53978175"/>
        <a:ext cx="5000625" cy="0"/>
      </xdr:xfrm>
      <a:graphic>
        <a:graphicData uri="http://schemas.openxmlformats.org/drawingml/2006/chart">
          <c:chart xmlns:c="http://schemas.openxmlformats.org/drawingml/2006/chart" r:id="rId1"/>
        </a:graphicData>
      </a:graphic>
    </xdr:graphicFrame>
    <xdr:clientData/>
  </xdr:twoCellAnchor>
  <xdr:twoCellAnchor>
    <xdr:from>
      <xdr:col>7</xdr:col>
      <xdr:colOff>133350</xdr:colOff>
      <xdr:row>428</xdr:row>
      <xdr:rowOff>0</xdr:rowOff>
    </xdr:from>
    <xdr:to>
      <xdr:col>16</xdr:col>
      <xdr:colOff>276225</xdr:colOff>
      <xdr:row>428</xdr:row>
      <xdr:rowOff>0</xdr:rowOff>
    </xdr:to>
    <xdr:graphicFrame>
      <xdr:nvGraphicFramePr>
        <xdr:cNvPr id="2" name="Chart 3"/>
        <xdr:cNvGraphicFramePr/>
      </xdr:nvGraphicFramePr>
      <xdr:xfrm>
        <a:off x="5457825" y="53978175"/>
        <a:ext cx="4505325" cy="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428</xdr:row>
      <xdr:rowOff>0</xdr:rowOff>
    </xdr:from>
    <xdr:to>
      <xdr:col>7</xdr:col>
      <xdr:colOff>0</xdr:colOff>
      <xdr:row>428</xdr:row>
      <xdr:rowOff>0</xdr:rowOff>
    </xdr:to>
    <xdr:graphicFrame>
      <xdr:nvGraphicFramePr>
        <xdr:cNvPr id="3" name="Chart 4"/>
        <xdr:cNvGraphicFramePr/>
      </xdr:nvGraphicFramePr>
      <xdr:xfrm>
        <a:off x="28575" y="53978175"/>
        <a:ext cx="5295900" cy="0"/>
      </xdr:xfrm>
      <a:graphic>
        <a:graphicData uri="http://schemas.openxmlformats.org/drawingml/2006/chart">
          <c:chart xmlns:c="http://schemas.openxmlformats.org/drawingml/2006/chart" r:id="rId3"/>
        </a:graphicData>
      </a:graphic>
    </xdr:graphicFrame>
    <xdr:clientData/>
  </xdr:twoCellAnchor>
  <xdr:twoCellAnchor>
    <xdr:from>
      <xdr:col>7</xdr:col>
      <xdr:colOff>142875</xdr:colOff>
      <xdr:row>428</xdr:row>
      <xdr:rowOff>0</xdr:rowOff>
    </xdr:from>
    <xdr:to>
      <xdr:col>16</xdr:col>
      <xdr:colOff>276225</xdr:colOff>
      <xdr:row>428</xdr:row>
      <xdr:rowOff>0</xdr:rowOff>
    </xdr:to>
    <xdr:graphicFrame>
      <xdr:nvGraphicFramePr>
        <xdr:cNvPr id="4" name="Chart 5"/>
        <xdr:cNvGraphicFramePr/>
      </xdr:nvGraphicFramePr>
      <xdr:xfrm>
        <a:off x="5467350" y="53978175"/>
        <a:ext cx="4495800" cy="0"/>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055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6</xdr:col>
      <xdr:colOff>3381375</xdr:colOff>
      <xdr:row>18</xdr:row>
      <xdr:rowOff>47625</xdr:rowOff>
    </xdr:to>
    <xdr:graphicFrame>
      <xdr:nvGraphicFramePr>
        <xdr:cNvPr id="1" name="Chart 8"/>
        <xdr:cNvGraphicFramePr/>
      </xdr:nvGraphicFramePr>
      <xdr:xfrm>
        <a:off x="76200" y="28575"/>
        <a:ext cx="7105650" cy="29337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17</xdr:row>
      <xdr:rowOff>28575</xdr:rowOff>
    </xdr:from>
    <xdr:to>
      <xdr:col>6</xdr:col>
      <xdr:colOff>3381375</xdr:colOff>
      <xdr:row>37</xdr:row>
      <xdr:rowOff>0</xdr:rowOff>
    </xdr:to>
    <xdr:graphicFrame>
      <xdr:nvGraphicFramePr>
        <xdr:cNvPr id="2" name="Chart 10"/>
        <xdr:cNvGraphicFramePr/>
      </xdr:nvGraphicFramePr>
      <xdr:xfrm>
        <a:off x="85725" y="2781300"/>
        <a:ext cx="7096125" cy="320992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43</xdr:row>
      <xdr:rowOff>9525</xdr:rowOff>
    </xdr:from>
    <xdr:to>
      <xdr:col>6</xdr:col>
      <xdr:colOff>3448050</xdr:colOff>
      <xdr:row>62</xdr:row>
      <xdr:rowOff>9525</xdr:rowOff>
    </xdr:to>
    <xdr:graphicFrame>
      <xdr:nvGraphicFramePr>
        <xdr:cNvPr id="3" name="Chart 15"/>
        <xdr:cNvGraphicFramePr/>
      </xdr:nvGraphicFramePr>
      <xdr:xfrm>
        <a:off x="76200" y="6972300"/>
        <a:ext cx="7172325" cy="30765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62</xdr:row>
      <xdr:rowOff>114300</xdr:rowOff>
    </xdr:from>
    <xdr:to>
      <xdr:col>6</xdr:col>
      <xdr:colOff>3390900</xdr:colOff>
      <xdr:row>82</xdr:row>
      <xdr:rowOff>19050</xdr:rowOff>
    </xdr:to>
    <xdr:graphicFrame>
      <xdr:nvGraphicFramePr>
        <xdr:cNvPr id="4" name="Chart 16"/>
        <xdr:cNvGraphicFramePr/>
      </xdr:nvGraphicFramePr>
      <xdr:xfrm>
        <a:off x="57150" y="10153650"/>
        <a:ext cx="7134225" cy="308610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83</xdr:row>
      <xdr:rowOff>47625</xdr:rowOff>
    </xdr:from>
    <xdr:to>
      <xdr:col>6</xdr:col>
      <xdr:colOff>3371850</xdr:colOff>
      <xdr:row>106</xdr:row>
      <xdr:rowOff>114300</xdr:rowOff>
    </xdr:to>
    <xdr:graphicFrame>
      <xdr:nvGraphicFramePr>
        <xdr:cNvPr id="5" name="Chart 17"/>
        <xdr:cNvGraphicFramePr/>
      </xdr:nvGraphicFramePr>
      <xdr:xfrm>
        <a:off x="28575" y="13430250"/>
        <a:ext cx="7143750" cy="3790950"/>
      </xdr:xfrm>
      <a:graphic>
        <a:graphicData uri="http://schemas.openxmlformats.org/drawingml/2006/chart">
          <c:chart xmlns:c="http://schemas.openxmlformats.org/drawingml/2006/chart" r:id="rId5"/>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6</xdr:col>
      <xdr:colOff>2971800</xdr:colOff>
      <xdr:row>30</xdr:row>
      <xdr:rowOff>9525</xdr:rowOff>
    </xdr:to>
    <xdr:graphicFrame>
      <xdr:nvGraphicFramePr>
        <xdr:cNvPr id="1" name="Chart 4"/>
        <xdr:cNvGraphicFramePr/>
      </xdr:nvGraphicFramePr>
      <xdr:xfrm>
        <a:off x="0" y="28575"/>
        <a:ext cx="6800850" cy="4838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10</xdr:row>
      <xdr:rowOff>466725</xdr:rowOff>
    </xdr:from>
    <xdr:to>
      <xdr:col>0</xdr:col>
      <xdr:colOff>1123950</xdr:colOff>
      <xdr:row>11</xdr:row>
      <xdr:rowOff>542925</xdr:rowOff>
    </xdr:to>
    <xdr:sp>
      <xdr:nvSpPr>
        <xdr:cNvPr id="1" name="AutoShape 1"/>
        <xdr:cNvSpPr>
          <a:spLocks/>
        </xdr:cNvSpPr>
      </xdr:nvSpPr>
      <xdr:spPr>
        <a:xfrm>
          <a:off x="666750" y="4200525"/>
          <a:ext cx="457200" cy="64770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0.60725</cdr:x>
      <cdr:y>0.01075</cdr:y>
    </cdr:from>
    <cdr:to>
      <cdr:x>0.7125</cdr:x>
      <cdr:y>0.949</cdr:y>
    </cdr:to>
    <cdr:sp>
      <cdr:nvSpPr>
        <cdr:cNvPr id="1" name="Rectangle 1"/>
        <cdr:cNvSpPr>
          <a:spLocks/>
        </cdr:cNvSpPr>
      </cdr:nvSpPr>
      <cdr:spPr>
        <a:xfrm>
          <a:off x="5381625" y="76200"/>
          <a:ext cx="933450" cy="7067550"/>
        </a:xfrm>
        <a:prstGeom prst="rect">
          <a:avLst/>
        </a:prstGeom>
        <a:solidFill>
          <a:srgbClr val="C0C0C0">
            <a:alpha val="23000"/>
          </a:srgbClr>
        </a:solidFill>
        <a:ln w="9525" cmpd="sng">
          <a:solidFill>
            <a:srgbClr val="000000"/>
          </a:solidFill>
          <a:headEnd type="none"/>
          <a:tailEnd type="none"/>
        </a:ln>
      </cdr:spPr>
      <cdr:txBody>
        <a:bodyPr vertOverflow="clip" wrap="square"/>
        <a:p>
          <a:pPr algn="l">
            <a:defRPr/>
          </a:pPr>
          <a:r>
            <a:rPr lang="en-US" cap="none" u="none" baseline="0">
              <a:latin typeface="Geneva"/>
              <a:ea typeface="Geneva"/>
              <a:cs typeface="Geneva"/>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0.60725</cdr:x>
      <cdr:y>0.0085</cdr:y>
    </cdr:from>
    <cdr:to>
      <cdr:x>0.7125</cdr:x>
      <cdr:y>0.949</cdr:y>
    </cdr:to>
    <cdr:sp>
      <cdr:nvSpPr>
        <cdr:cNvPr id="1" name="Rectangle 1"/>
        <cdr:cNvSpPr>
          <a:spLocks/>
        </cdr:cNvSpPr>
      </cdr:nvSpPr>
      <cdr:spPr>
        <a:xfrm>
          <a:off x="5381625" y="57150"/>
          <a:ext cx="933450" cy="7086600"/>
        </a:xfrm>
        <a:prstGeom prst="rect">
          <a:avLst/>
        </a:prstGeom>
        <a:solidFill>
          <a:srgbClr val="C0C0C0">
            <a:alpha val="23000"/>
          </a:srgbClr>
        </a:solidFill>
        <a:ln w="9525" cmpd="sng">
          <a:solidFill>
            <a:srgbClr val="000000"/>
          </a:solidFill>
          <a:headEnd type="none"/>
          <a:tailEnd type="none"/>
        </a:ln>
      </cdr:spPr>
      <cdr:txBody>
        <a:bodyPr vertOverflow="clip" wrap="square"/>
        <a:p>
          <a:pPr algn="l">
            <a:defRPr/>
          </a:pPr>
          <a:r>
            <a:rPr lang="en-US" cap="none" u="none" baseline="0">
              <a:latin typeface="Geneva"/>
              <a:ea typeface="Geneva"/>
              <a:cs typeface="Geneva"/>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8</xdr:col>
      <xdr:colOff>809625</xdr:colOff>
      <xdr:row>47</xdr:row>
      <xdr:rowOff>133350</xdr:rowOff>
    </xdr:to>
    <xdr:graphicFrame>
      <xdr:nvGraphicFramePr>
        <xdr:cNvPr id="1" name="Chart 12"/>
        <xdr:cNvGraphicFramePr/>
      </xdr:nvGraphicFramePr>
      <xdr:xfrm>
        <a:off x="85725" y="0"/>
        <a:ext cx="8877300" cy="753427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8</xdr:col>
      <xdr:colOff>809625</xdr:colOff>
      <xdr:row>47</xdr:row>
      <xdr:rowOff>133350</xdr:rowOff>
    </xdr:to>
    <xdr:graphicFrame>
      <xdr:nvGraphicFramePr>
        <xdr:cNvPr id="2" name="Chart 13"/>
        <xdr:cNvGraphicFramePr/>
      </xdr:nvGraphicFramePr>
      <xdr:xfrm>
        <a:off x="85725" y="0"/>
        <a:ext cx="8877300" cy="75342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8</xdr:col>
      <xdr:colOff>285750</xdr:colOff>
      <xdr:row>41</xdr:row>
      <xdr:rowOff>952500</xdr:rowOff>
    </xdr:to>
    <xdr:graphicFrame>
      <xdr:nvGraphicFramePr>
        <xdr:cNvPr id="1" name="Chart 1"/>
        <xdr:cNvGraphicFramePr/>
      </xdr:nvGraphicFramePr>
      <xdr:xfrm>
        <a:off x="19050" y="28575"/>
        <a:ext cx="9401175" cy="7562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10</xdr:row>
      <xdr:rowOff>466725</xdr:rowOff>
    </xdr:from>
    <xdr:to>
      <xdr:col>0</xdr:col>
      <xdr:colOff>1123950</xdr:colOff>
      <xdr:row>11</xdr:row>
      <xdr:rowOff>542925</xdr:rowOff>
    </xdr:to>
    <xdr:sp>
      <xdr:nvSpPr>
        <xdr:cNvPr id="1" name="AutoShape 1"/>
        <xdr:cNvSpPr>
          <a:spLocks/>
        </xdr:cNvSpPr>
      </xdr:nvSpPr>
      <xdr:spPr>
        <a:xfrm>
          <a:off x="666750" y="4686300"/>
          <a:ext cx="457200" cy="7048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13</xdr:row>
      <xdr:rowOff>9525</xdr:rowOff>
    </xdr:from>
    <xdr:to>
      <xdr:col>3</xdr:col>
      <xdr:colOff>628650</xdr:colOff>
      <xdr:row>14</xdr:row>
      <xdr:rowOff>190500</xdr:rowOff>
    </xdr:to>
    <xdr:sp>
      <xdr:nvSpPr>
        <xdr:cNvPr id="1" name="AutoShape 11"/>
        <xdr:cNvSpPr>
          <a:spLocks/>
        </xdr:cNvSpPr>
      </xdr:nvSpPr>
      <xdr:spPr>
        <a:xfrm>
          <a:off x="2247900" y="2581275"/>
          <a:ext cx="542925" cy="352425"/>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333375</xdr:colOff>
      <xdr:row>16</xdr:row>
      <xdr:rowOff>47625</xdr:rowOff>
    </xdr:from>
    <xdr:to>
      <xdr:col>10</xdr:col>
      <xdr:colOff>828675</xdr:colOff>
      <xdr:row>17</xdr:row>
      <xdr:rowOff>104775</xdr:rowOff>
    </xdr:to>
    <xdr:sp>
      <xdr:nvSpPr>
        <xdr:cNvPr id="2" name="AutoShape 16"/>
        <xdr:cNvSpPr>
          <a:spLocks/>
        </xdr:cNvSpPr>
      </xdr:nvSpPr>
      <xdr:spPr>
        <a:xfrm>
          <a:off x="6600825" y="3305175"/>
          <a:ext cx="485775" cy="2190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323850</xdr:colOff>
      <xdr:row>15</xdr:row>
      <xdr:rowOff>28575</xdr:rowOff>
    </xdr:from>
    <xdr:to>
      <xdr:col>10</xdr:col>
      <xdr:colOff>361950</xdr:colOff>
      <xdr:row>17</xdr:row>
      <xdr:rowOff>257175</xdr:rowOff>
    </xdr:to>
    <xdr:sp>
      <xdr:nvSpPr>
        <xdr:cNvPr id="3" name="AutoShape 14"/>
        <xdr:cNvSpPr>
          <a:spLocks/>
        </xdr:cNvSpPr>
      </xdr:nvSpPr>
      <xdr:spPr>
        <a:xfrm>
          <a:off x="5724525" y="3028950"/>
          <a:ext cx="904875" cy="647700"/>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a:t>
          </a:r>
          <a:r>
            <a:rPr lang="en-US" cap="none" sz="1000" b="1" i="0" u="none" baseline="0">
              <a:solidFill>
                <a:srgbClr val="000000"/>
              </a:solidFill>
            </a:rPr>
            <a:t>Executive Control</a:t>
          </a:r>
        </a:p>
      </xdr:txBody>
    </xdr:sp>
    <xdr:clientData/>
  </xdr:twoCellAnchor>
  <xdr:twoCellAnchor>
    <xdr:from>
      <xdr:col>4</xdr:col>
      <xdr:colOff>38100</xdr:colOff>
      <xdr:row>15</xdr:row>
      <xdr:rowOff>142875</xdr:rowOff>
    </xdr:from>
    <xdr:to>
      <xdr:col>5</xdr:col>
      <xdr:colOff>209550</xdr:colOff>
      <xdr:row>15</xdr:row>
      <xdr:rowOff>142875</xdr:rowOff>
    </xdr:to>
    <xdr:sp>
      <xdr:nvSpPr>
        <xdr:cNvPr id="4" name="Line 4"/>
        <xdr:cNvSpPr>
          <a:spLocks/>
        </xdr:cNvSpPr>
      </xdr:nvSpPr>
      <xdr:spPr>
        <a:xfrm flipH="1">
          <a:off x="2895600" y="3143250"/>
          <a:ext cx="3048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28575</xdr:colOff>
      <xdr:row>15</xdr:row>
      <xdr:rowOff>152400</xdr:rowOff>
    </xdr:from>
    <xdr:to>
      <xdr:col>8</xdr:col>
      <xdr:colOff>333375</xdr:colOff>
      <xdr:row>15</xdr:row>
      <xdr:rowOff>152400</xdr:rowOff>
    </xdr:to>
    <xdr:sp>
      <xdr:nvSpPr>
        <xdr:cNvPr id="5" name="Line 5"/>
        <xdr:cNvSpPr>
          <a:spLocks/>
        </xdr:cNvSpPr>
      </xdr:nvSpPr>
      <xdr:spPr>
        <a:xfrm>
          <a:off x="5429250" y="3152775"/>
          <a:ext cx="3048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1162050</xdr:colOff>
      <xdr:row>19</xdr:row>
      <xdr:rowOff>28575</xdr:rowOff>
    </xdr:from>
    <xdr:to>
      <xdr:col>3</xdr:col>
      <xdr:colOff>171450</xdr:colOff>
      <xdr:row>23</xdr:row>
      <xdr:rowOff>85725</xdr:rowOff>
    </xdr:to>
    <xdr:sp>
      <xdr:nvSpPr>
        <xdr:cNvPr id="6" name="AutoShape 7"/>
        <xdr:cNvSpPr>
          <a:spLocks/>
        </xdr:cNvSpPr>
      </xdr:nvSpPr>
      <xdr:spPr>
        <a:xfrm>
          <a:off x="1581150" y="3895725"/>
          <a:ext cx="752475" cy="10191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28575</xdr:colOff>
      <xdr:row>21</xdr:row>
      <xdr:rowOff>0</xdr:rowOff>
    </xdr:from>
    <xdr:to>
      <xdr:col>8</xdr:col>
      <xdr:colOff>647700</xdr:colOff>
      <xdr:row>21</xdr:row>
      <xdr:rowOff>0</xdr:rowOff>
    </xdr:to>
    <xdr:sp>
      <xdr:nvSpPr>
        <xdr:cNvPr id="7" name="Line 9"/>
        <xdr:cNvSpPr>
          <a:spLocks/>
        </xdr:cNvSpPr>
      </xdr:nvSpPr>
      <xdr:spPr>
        <a:xfrm flipH="1">
          <a:off x="2190750" y="4381500"/>
          <a:ext cx="38576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0</xdr:colOff>
      <xdr:row>18</xdr:row>
      <xdr:rowOff>0</xdr:rowOff>
    </xdr:from>
    <xdr:to>
      <xdr:col>9</xdr:col>
      <xdr:colOff>0</xdr:colOff>
      <xdr:row>19</xdr:row>
      <xdr:rowOff>9525</xdr:rowOff>
    </xdr:to>
    <xdr:sp>
      <xdr:nvSpPr>
        <xdr:cNvPr id="8" name="Line 10"/>
        <xdr:cNvSpPr>
          <a:spLocks/>
        </xdr:cNvSpPr>
      </xdr:nvSpPr>
      <xdr:spPr>
        <a:xfrm flipH="1" flipV="1">
          <a:off x="6096000" y="3676650"/>
          <a:ext cx="0" cy="200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76200</xdr:colOff>
      <xdr:row>7</xdr:row>
      <xdr:rowOff>66675</xdr:rowOff>
    </xdr:from>
    <xdr:to>
      <xdr:col>5</xdr:col>
      <xdr:colOff>152400</xdr:colOff>
      <xdr:row>8</xdr:row>
      <xdr:rowOff>219075</xdr:rowOff>
    </xdr:to>
    <xdr:sp>
      <xdr:nvSpPr>
        <xdr:cNvPr id="9" name="AutoShape 12"/>
        <xdr:cNvSpPr>
          <a:spLocks/>
        </xdr:cNvSpPr>
      </xdr:nvSpPr>
      <xdr:spPr>
        <a:xfrm>
          <a:off x="2933700" y="1381125"/>
          <a:ext cx="209550" cy="314325"/>
        </a:xfrm>
        <a:prstGeom prst="rightArrow">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590550</xdr:colOff>
      <xdr:row>13</xdr:row>
      <xdr:rowOff>142875</xdr:rowOff>
    </xdr:from>
    <xdr:to>
      <xdr:col>9</xdr:col>
      <xdr:colOff>76200</xdr:colOff>
      <xdr:row>15</xdr:row>
      <xdr:rowOff>0</xdr:rowOff>
    </xdr:to>
    <xdr:sp>
      <xdr:nvSpPr>
        <xdr:cNvPr id="10" name="AutoShape 13"/>
        <xdr:cNvSpPr>
          <a:spLocks/>
        </xdr:cNvSpPr>
      </xdr:nvSpPr>
      <xdr:spPr>
        <a:xfrm>
          <a:off x="5991225" y="2714625"/>
          <a:ext cx="180975" cy="285750"/>
        </a:xfrm>
        <a:prstGeom prst="up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838200</xdr:colOff>
      <xdr:row>15</xdr:row>
      <xdr:rowOff>180975</xdr:rowOff>
    </xdr:from>
    <xdr:to>
      <xdr:col>11</xdr:col>
      <xdr:colOff>628650</xdr:colOff>
      <xdr:row>18</xdr:row>
      <xdr:rowOff>28575</xdr:rowOff>
    </xdr:to>
    <xdr:sp>
      <xdr:nvSpPr>
        <xdr:cNvPr id="11" name="AutoShape 15"/>
        <xdr:cNvSpPr>
          <a:spLocks/>
        </xdr:cNvSpPr>
      </xdr:nvSpPr>
      <xdr:spPr>
        <a:xfrm>
          <a:off x="7105650" y="3181350"/>
          <a:ext cx="1485900" cy="5238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Geneva"/>
              <a:ea typeface="Geneva"/>
              <a:cs typeface="Geneva"/>
            </a:rPr>
            <a:t>Cognitive or Academic Performance</a:t>
          </a:r>
        </a:p>
      </xdr:txBody>
    </xdr:sp>
    <xdr:clientData/>
  </xdr:twoCellAnchor>
  <xdr:twoCellAnchor>
    <xdr:from>
      <xdr:col>8</xdr:col>
      <xdr:colOff>28575</xdr:colOff>
      <xdr:row>17</xdr:row>
      <xdr:rowOff>114300</xdr:rowOff>
    </xdr:from>
    <xdr:to>
      <xdr:col>8</xdr:col>
      <xdr:colOff>333375</xdr:colOff>
      <xdr:row>17</xdr:row>
      <xdr:rowOff>114300</xdr:rowOff>
    </xdr:to>
    <xdr:sp>
      <xdr:nvSpPr>
        <xdr:cNvPr id="12" name="Line 17"/>
        <xdr:cNvSpPr>
          <a:spLocks/>
        </xdr:cNvSpPr>
      </xdr:nvSpPr>
      <xdr:spPr>
        <a:xfrm>
          <a:off x="5429250" y="3533775"/>
          <a:ext cx="3048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359</xdr:row>
      <xdr:rowOff>0</xdr:rowOff>
    </xdr:from>
    <xdr:to>
      <xdr:col>6</xdr:col>
      <xdr:colOff>361950</xdr:colOff>
      <xdr:row>359</xdr:row>
      <xdr:rowOff>0</xdr:rowOff>
    </xdr:to>
    <xdr:graphicFrame>
      <xdr:nvGraphicFramePr>
        <xdr:cNvPr id="1" name="Chart 1"/>
        <xdr:cNvGraphicFramePr/>
      </xdr:nvGraphicFramePr>
      <xdr:xfrm>
        <a:off x="9525" y="45158025"/>
        <a:ext cx="4924425" cy="0"/>
      </xdr:xfrm>
      <a:graphic>
        <a:graphicData uri="http://schemas.openxmlformats.org/drawingml/2006/chart">
          <c:chart xmlns:c="http://schemas.openxmlformats.org/drawingml/2006/chart" r:id="rId1"/>
        </a:graphicData>
      </a:graphic>
    </xdr:graphicFrame>
    <xdr:clientData/>
  </xdr:twoCellAnchor>
  <xdr:twoCellAnchor>
    <xdr:from>
      <xdr:col>7</xdr:col>
      <xdr:colOff>133350</xdr:colOff>
      <xdr:row>359</xdr:row>
      <xdr:rowOff>0</xdr:rowOff>
    </xdr:from>
    <xdr:to>
      <xdr:col>16</xdr:col>
      <xdr:colOff>276225</xdr:colOff>
      <xdr:row>359</xdr:row>
      <xdr:rowOff>0</xdr:rowOff>
    </xdr:to>
    <xdr:graphicFrame>
      <xdr:nvGraphicFramePr>
        <xdr:cNvPr id="2" name="Chart 2"/>
        <xdr:cNvGraphicFramePr/>
      </xdr:nvGraphicFramePr>
      <xdr:xfrm>
        <a:off x="5381625" y="45158025"/>
        <a:ext cx="4772025" cy="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359</xdr:row>
      <xdr:rowOff>0</xdr:rowOff>
    </xdr:from>
    <xdr:to>
      <xdr:col>7</xdr:col>
      <xdr:colOff>0</xdr:colOff>
      <xdr:row>359</xdr:row>
      <xdr:rowOff>0</xdr:rowOff>
    </xdr:to>
    <xdr:graphicFrame>
      <xdr:nvGraphicFramePr>
        <xdr:cNvPr id="3" name="Chart 3"/>
        <xdr:cNvGraphicFramePr/>
      </xdr:nvGraphicFramePr>
      <xdr:xfrm>
        <a:off x="28575" y="45158025"/>
        <a:ext cx="5219700" cy="0"/>
      </xdr:xfrm>
      <a:graphic>
        <a:graphicData uri="http://schemas.openxmlformats.org/drawingml/2006/chart">
          <c:chart xmlns:c="http://schemas.openxmlformats.org/drawingml/2006/chart" r:id="rId3"/>
        </a:graphicData>
      </a:graphic>
    </xdr:graphicFrame>
    <xdr:clientData/>
  </xdr:twoCellAnchor>
  <xdr:twoCellAnchor>
    <xdr:from>
      <xdr:col>7</xdr:col>
      <xdr:colOff>142875</xdr:colOff>
      <xdr:row>359</xdr:row>
      <xdr:rowOff>0</xdr:rowOff>
    </xdr:from>
    <xdr:to>
      <xdr:col>16</xdr:col>
      <xdr:colOff>276225</xdr:colOff>
      <xdr:row>359</xdr:row>
      <xdr:rowOff>0</xdr:rowOff>
    </xdr:to>
    <xdr:graphicFrame>
      <xdr:nvGraphicFramePr>
        <xdr:cNvPr id="4" name="Chart 4"/>
        <xdr:cNvGraphicFramePr/>
      </xdr:nvGraphicFramePr>
      <xdr:xfrm>
        <a:off x="5391150" y="45158025"/>
        <a:ext cx="4762500"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ro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1"/>
    </sheetNames>
    <definedNames>
      <definedName name="Record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2:A10"/>
  <sheetViews>
    <sheetView showGridLines="0" zoomScalePageLayoutView="0" workbookViewId="0" topLeftCell="A1">
      <selection activeCell="A6" sqref="A6"/>
    </sheetView>
  </sheetViews>
  <sheetFormatPr defaultColWidth="9.00390625" defaultRowHeight="12.75"/>
  <cols>
    <col min="1" max="1" width="95.625" style="0" bestFit="1" customWidth="1"/>
    <col min="2" max="2" width="0.74609375" style="0" customWidth="1"/>
  </cols>
  <sheetData>
    <row r="2" ht="40.5">
      <c r="A2" s="192" t="s">
        <v>633</v>
      </c>
    </row>
    <row r="3" ht="20.25">
      <c r="A3" s="192"/>
    </row>
    <row r="4" ht="40.5">
      <c r="A4" s="192" t="s">
        <v>636</v>
      </c>
    </row>
    <row r="5" ht="20.25">
      <c r="A5" s="192"/>
    </row>
    <row r="6" ht="40.5">
      <c r="A6" s="192" t="s">
        <v>632</v>
      </c>
    </row>
    <row r="7" ht="20.25">
      <c r="A7" s="192"/>
    </row>
    <row r="8" ht="40.5">
      <c r="A8" s="193" t="s">
        <v>634</v>
      </c>
    </row>
    <row r="9" ht="20.25">
      <c r="A9" s="192"/>
    </row>
    <row r="10" ht="44.25" customHeight="1">
      <c r="A10" s="192" t="s">
        <v>635</v>
      </c>
    </row>
  </sheetData>
  <sheetProtection password="8D61" sheet="1" objects="1" scenarios="1"/>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sheetPr>
    <tabColor indexed="25"/>
  </sheetPr>
  <dimension ref="A69:M290"/>
  <sheetViews>
    <sheetView showGridLines="0" zoomScalePageLayoutView="0" workbookViewId="0" topLeftCell="A1">
      <selection activeCell="P81" sqref="P81"/>
    </sheetView>
  </sheetViews>
  <sheetFormatPr defaultColWidth="9.00390625" defaultRowHeight="12.75"/>
  <cols>
    <col min="1" max="1" width="6.25390625" style="140" customWidth="1"/>
    <col min="2" max="2" width="7.125" style="140" customWidth="1"/>
    <col min="3" max="6" width="9.125" style="140" customWidth="1"/>
    <col min="7" max="7" width="46.375" style="140" customWidth="1"/>
    <col min="8" max="16384" width="9.125" style="140" customWidth="1"/>
  </cols>
  <sheetData>
    <row r="69" ht="12.75">
      <c r="B69" s="141"/>
    </row>
    <row r="77" ht="10.5" customHeight="1"/>
    <row r="78" ht="10.5" customHeight="1"/>
    <row r="102" spans="1:13" ht="12.75">
      <c r="A102" s="141"/>
      <c r="B102" s="141"/>
      <c r="C102" s="141"/>
      <c r="D102" s="141"/>
      <c r="E102" s="141"/>
      <c r="F102" s="141"/>
      <c r="G102" s="141"/>
      <c r="H102" s="141"/>
      <c r="I102" s="141"/>
      <c r="J102" s="141"/>
      <c r="K102" s="141"/>
      <c r="L102" s="141"/>
      <c r="M102" s="141"/>
    </row>
    <row r="103" spans="1:13" ht="12.75">
      <c r="A103" s="141"/>
      <c r="B103" s="141"/>
      <c r="C103" s="141"/>
      <c r="D103" s="141"/>
      <c r="E103" s="141"/>
      <c r="F103" s="141"/>
      <c r="G103" s="141"/>
      <c r="H103" s="141"/>
      <c r="I103" s="141"/>
      <c r="J103" s="141"/>
      <c r="K103" s="141"/>
      <c r="L103" s="141"/>
      <c r="M103" s="141"/>
    </row>
    <row r="104" spans="1:13" ht="12.75">
      <c r="A104" s="141"/>
      <c r="B104" s="141"/>
      <c r="C104" s="141"/>
      <c r="D104" s="141"/>
      <c r="E104" s="141"/>
      <c r="F104" s="141"/>
      <c r="G104" s="141"/>
      <c r="H104" s="141"/>
      <c r="I104" s="141"/>
      <c r="J104" s="141"/>
      <c r="K104" s="141"/>
      <c r="L104" s="141"/>
      <c r="M104" s="141"/>
    </row>
    <row r="105" spans="1:13" ht="12.75">
      <c r="A105" s="141"/>
      <c r="B105" s="141"/>
      <c r="C105" s="141"/>
      <c r="D105" s="141"/>
      <c r="E105" s="141"/>
      <c r="F105" s="141"/>
      <c r="H105" s="141"/>
      <c r="I105" s="141"/>
      <c r="J105" s="141"/>
      <c r="K105" s="141"/>
      <c r="L105" s="141"/>
      <c r="M105" s="141"/>
    </row>
    <row r="106" spans="1:13" ht="12.75">
      <c r="A106" s="141"/>
      <c r="B106" s="141"/>
      <c r="C106" s="141"/>
      <c r="D106" s="141"/>
      <c r="E106" s="141"/>
      <c r="F106" s="141"/>
      <c r="G106" s="141"/>
      <c r="H106" s="141"/>
      <c r="I106" s="141"/>
      <c r="J106" s="141"/>
      <c r="K106" s="141"/>
      <c r="L106" s="141"/>
      <c r="M106" s="141"/>
    </row>
    <row r="107" spans="1:13" ht="12.75">
      <c r="A107" s="141"/>
      <c r="B107" s="141"/>
      <c r="C107" s="141"/>
      <c r="D107" s="141"/>
      <c r="E107" s="141"/>
      <c r="F107" s="141"/>
      <c r="G107" s="141"/>
      <c r="H107" s="141"/>
      <c r="I107" s="141"/>
      <c r="J107" s="141"/>
      <c r="K107" s="141"/>
      <c r="L107" s="141"/>
      <c r="M107" s="141"/>
    </row>
    <row r="108" spans="1:13" ht="12.75">
      <c r="A108" s="143"/>
      <c r="B108" s="143"/>
      <c r="C108" s="143"/>
      <c r="D108" s="143"/>
      <c r="E108" s="143"/>
      <c r="F108" s="143"/>
      <c r="G108" s="143"/>
      <c r="H108" s="143"/>
      <c r="I108" s="143"/>
      <c r="J108" s="141"/>
      <c r="K108" s="141"/>
      <c r="L108" s="141"/>
      <c r="M108" s="141"/>
    </row>
    <row r="109" spans="1:13" ht="12.75">
      <c r="A109" s="143"/>
      <c r="B109" s="143"/>
      <c r="C109" s="143"/>
      <c r="D109" s="143"/>
      <c r="E109" s="143"/>
      <c r="F109" s="143"/>
      <c r="G109" s="143"/>
      <c r="H109" s="143"/>
      <c r="I109" s="143"/>
      <c r="J109" s="141"/>
      <c r="K109" s="141"/>
      <c r="L109" s="141"/>
      <c r="M109" s="141"/>
    </row>
    <row r="110" spans="1:13" ht="12.75">
      <c r="A110" s="143"/>
      <c r="B110" s="143"/>
      <c r="C110" s="143"/>
      <c r="D110" s="143"/>
      <c r="E110" s="143"/>
      <c r="F110" s="143"/>
      <c r="G110" s="143"/>
      <c r="H110" s="143"/>
      <c r="I110" s="143"/>
      <c r="J110" s="141"/>
      <c r="K110" s="141"/>
      <c r="L110" s="141"/>
      <c r="M110" s="141"/>
    </row>
    <row r="111" spans="1:13" ht="12.75">
      <c r="A111" s="143"/>
      <c r="B111" s="143"/>
      <c r="C111" s="143"/>
      <c r="D111" s="143"/>
      <c r="E111" s="143"/>
      <c r="F111" s="143"/>
      <c r="G111" s="143"/>
      <c r="H111" s="143"/>
      <c r="I111" s="143"/>
      <c r="J111" s="141"/>
      <c r="K111" s="141"/>
      <c r="L111" s="141"/>
      <c r="M111" s="141"/>
    </row>
    <row r="112" spans="1:13" ht="12.75">
      <c r="A112" s="143"/>
      <c r="B112" s="143"/>
      <c r="C112" s="143"/>
      <c r="D112" s="143"/>
      <c r="E112" s="143"/>
      <c r="F112" s="143"/>
      <c r="G112" s="143"/>
      <c r="H112" s="143"/>
      <c r="I112" s="143"/>
      <c r="J112" s="141"/>
      <c r="K112" s="141"/>
      <c r="L112" s="141"/>
      <c r="M112" s="141"/>
    </row>
    <row r="113" spans="1:13" ht="12.75">
      <c r="A113" s="143"/>
      <c r="B113" s="143"/>
      <c r="C113" s="143"/>
      <c r="D113" s="143"/>
      <c r="E113" s="143"/>
      <c r="F113" s="143"/>
      <c r="G113" s="143"/>
      <c r="H113" s="143"/>
      <c r="I113" s="143"/>
      <c r="J113" s="141"/>
      <c r="K113" s="141"/>
      <c r="L113" s="141"/>
      <c r="M113" s="141"/>
    </row>
    <row r="114" spans="1:13" ht="12.75">
      <c r="A114" s="143"/>
      <c r="B114" s="143"/>
      <c r="C114" s="143"/>
      <c r="D114" s="143"/>
      <c r="E114" s="143"/>
      <c r="F114" s="143"/>
      <c r="G114" s="143"/>
      <c r="H114" s="143"/>
      <c r="I114" s="143"/>
      <c r="J114" s="141"/>
      <c r="K114" s="141"/>
      <c r="L114" s="141"/>
      <c r="M114" s="141"/>
    </row>
    <row r="115" spans="1:13" ht="12.75">
      <c r="A115" s="143"/>
      <c r="B115" s="143"/>
      <c r="C115" s="143"/>
      <c r="D115" s="143"/>
      <c r="E115" s="143"/>
      <c r="F115" s="143"/>
      <c r="G115" s="143"/>
      <c r="H115" s="143"/>
      <c r="I115" s="143"/>
      <c r="J115" s="141"/>
      <c r="K115" s="141"/>
      <c r="L115" s="141"/>
      <c r="M115" s="141"/>
    </row>
    <row r="116" spans="1:13" ht="12.75" hidden="1">
      <c r="A116" s="143"/>
      <c r="B116" s="143"/>
      <c r="C116" s="143"/>
      <c r="D116" s="143"/>
      <c r="E116" s="143"/>
      <c r="F116" s="143"/>
      <c r="G116" s="143"/>
      <c r="H116" s="143"/>
      <c r="I116" s="143"/>
      <c r="J116" s="141"/>
      <c r="K116" s="141"/>
      <c r="L116" s="141"/>
      <c r="M116" s="141"/>
    </row>
    <row r="117" spans="1:13" ht="12.75" hidden="1">
      <c r="A117" s="143"/>
      <c r="B117" s="143"/>
      <c r="C117" s="143"/>
      <c r="D117" s="143"/>
      <c r="E117" s="143"/>
      <c r="F117" s="143"/>
      <c r="G117" s="143"/>
      <c r="H117" s="143"/>
      <c r="I117" s="143"/>
      <c r="J117" s="141"/>
      <c r="K117" s="141"/>
      <c r="L117" s="141"/>
      <c r="M117" s="141"/>
    </row>
    <row r="118" spans="1:13" ht="12.75" hidden="1">
      <c r="A118" s="143"/>
      <c r="B118" s="143"/>
      <c r="C118" s="143"/>
      <c r="D118" s="143"/>
      <c r="E118" s="143"/>
      <c r="F118" s="143"/>
      <c r="G118" s="143"/>
      <c r="H118" s="143"/>
      <c r="I118" s="143"/>
      <c r="J118" s="141"/>
      <c r="K118" s="141"/>
      <c r="L118" s="141"/>
      <c r="M118" s="141"/>
    </row>
    <row r="119" spans="1:13" ht="12.75" hidden="1">
      <c r="A119" s="143"/>
      <c r="B119" s="143"/>
      <c r="C119" s="143"/>
      <c r="D119" s="143"/>
      <c r="E119" s="143"/>
      <c r="F119" s="143"/>
      <c r="G119" s="143"/>
      <c r="H119" s="143"/>
      <c r="I119" s="143"/>
      <c r="J119" s="141"/>
      <c r="K119" s="141"/>
      <c r="L119" s="141"/>
      <c r="M119" s="141"/>
    </row>
    <row r="120" spans="1:13" ht="12.75" hidden="1">
      <c r="A120" s="143"/>
      <c r="B120" s="143"/>
      <c r="C120" s="143"/>
      <c r="D120" s="143"/>
      <c r="E120" s="143"/>
      <c r="F120" s="143"/>
      <c r="G120" s="143"/>
      <c r="H120" s="143"/>
      <c r="I120" s="143"/>
      <c r="J120" s="141"/>
      <c r="K120" s="141"/>
      <c r="L120" s="141"/>
      <c r="M120" s="141"/>
    </row>
    <row r="121" spans="1:10" s="141" customFormat="1" ht="12.75">
      <c r="A121" s="148"/>
      <c r="B121" s="146" t="str">
        <f>'WJ III ACH'!D45&amp;" ("&amp;I121&amp;")"</f>
        <v>Broad Reading (82 to 90)</v>
      </c>
      <c r="C121" s="145">
        <f>IF(G121="","",G121-H121)</f>
        <v>82</v>
      </c>
      <c r="D121" s="145">
        <f>IF(G121="","",2*H121)</f>
        <v>8</v>
      </c>
      <c r="E121" s="145">
        <f>IF(G121="","",200-(C121+D121))</f>
        <v>110</v>
      </c>
      <c r="F121" s="146"/>
      <c r="G121" s="146">
        <f>'WJ III ACH'!E45</f>
        <v>86</v>
      </c>
      <c r="H121" s="145">
        <v>4</v>
      </c>
      <c r="I121" s="146" t="str">
        <f>'WJ III ACH'!G45</f>
        <v>82 to 90</v>
      </c>
      <c r="J121" s="147"/>
    </row>
    <row r="122" spans="1:10" s="141" customFormat="1" ht="12.75">
      <c r="A122" s="148"/>
      <c r="B122" s="146" t="str">
        <f>'WJ III ACH'!D47&amp;" ("&amp;I122&amp;")"</f>
        <v>Letter Word Identification (85 to 93)</v>
      </c>
      <c r="C122" s="145">
        <f aca="true" t="shared" si="0" ref="C122:C185">IF(G122="","",G122-H122)</f>
        <v>85</v>
      </c>
      <c r="D122" s="145">
        <f aca="true" t="shared" si="1" ref="D122:D185">IF(G122="","",2*H122)</f>
        <v>8</v>
      </c>
      <c r="E122" s="145">
        <f aca="true" t="shared" si="2" ref="E122:E185">IF(G122="","",200-(C122+D122))</f>
        <v>107</v>
      </c>
      <c r="F122" s="145"/>
      <c r="G122" s="146">
        <f>'WJ III ACH'!E47</f>
        <v>89</v>
      </c>
      <c r="H122" s="145">
        <v>4</v>
      </c>
      <c r="I122" s="146" t="str">
        <f>'WJ III ACH'!G47</f>
        <v>85 to 93</v>
      </c>
      <c r="J122" s="147"/>
    </row>
    <row r="123" spans="1:10" s="141" customFormat="1" ht="12.75">
      <c r="A123" s="148"/>
      <c r="B123" s="146" t="str">
        <f>'WJ III ACH'!D48&amp;" ("&amp;I123&amp;")"</f>
        <v>Reading Fluency (81 to 89)</v>
      </c>
      <c r="C123" s="145">
        <f t="shared" si="0"/>
        <v>81</v>
      </c>
      <c r="D123" s="145">
        <f t="shared" si="1"/>
        <v>8</v>
      </c>
      <c r="E123" s="145">
        <f t="shared" si="2"/>
        <v>111</v>
      </c>
      <c r="F123" s="145"/>
      <c r="G123" s="146">
        <f>'WJ III ACH'!E48</f>
        <v>85</v>
      </c>
      <c r="H123" s="145">
        <v>4</v>
      </c>
      <c r="I123" s="146" t="str">
        <f>'WJ III ACH'!G48</f>
        <v>81 to 89</v>
      </c>
      <c r="J123" s="147"/>
    </row>
    <row r="124" spans="1:10" s="141" customFormat="1" ht="12.75">
      <c r="A124" s="148"/>
      <c r="B124" s="146" t="str">
        <f>'WJ III ACH'!D49&amp;" ("&amp;I124&amp;")"</f>
        <v>Passage Comprehension (85 to 101)</v>
      </c>
      <c r="C124" s="145">
        <f t="shared" si="0"/>
        <v>85</v>
      </c>
      <c r="D124" s="145">
        <f t="shared" si="1"/>
        <v>16</v>
      </c>
      <c r="E124" s="145">
        <f t="shared" si="2"/>
        <v>99</v>
      </c>
      <c r="F124" s="145"/>
      <c r="G124" s="146">
        <f>'WJ III ACH'!E49</f>
        <v>93</v>
      </c>
      <c r="H124" s="145">
        <v>8</v>
      </c>
      <c r="I124" s="146" t="str">
        <f>'WJ III ACH'!G49</f>
        <v>85 to 101</v>
      </c>
      <c r="J124" s="147"/>
    </row>
    <row r="125" spans="1:9" s="141" customFormat="1" ht="3" customHeight="1">
      <c r="A125" s="142"/>
      <c r="B125" s="145"/>
      <c r="C125" s="145">
        <f t="shared" si="0"/>
      </c>
      <c r="D125" s="145">
        <f t="shared" si="1"/>
      </c>
      <c r="E125" s="145">
        <f t="shared" si="2"/>
      </c>
      <c r="F125" s="145"/>
      <c r="G125" s="145"/>
      <c r="H125" s="145"/>
      <c r="I125" s="146"/>
    </row>
    <row r="126" spans="1:10" s="141" customFormat="1" ht="12.75">
      <c r="A126" s="148"/>
      <c r="B126" s="146" t="str">
        <f>'WJ III ACH'!D53&amp;" ("&amp;I126&amp;")"</f>
        <v>Basic Reading Skills (83 to 95)</v>
      </c>
      <c r="C126" s="145">
        <f t="shared" si="0"/>
        <v>83</v>
      </c>
      <c r="D126" s="145">
        <f t="shared" si="1"/>
        <v>12</v>
      </c>
      <c r="E126" s="145">
        <f t="shared" si="2"/>
        <v>105</v>
      </c>
      <c r="F126" s="145"/>
      <c r="G126" s="146">
        <f>'WJ III ACH'!E53</f>
        <v>89</v>
      </c>
      <c r="H126" s="145">
        <v>6</v>
      </c>
      <c r="I126" s="146" t="str">
        <f>'WJ III ACH'!G53</f>
        <v>83 to 95</v>
      </c>
      <c r="J126" s="147"/>
    </row>
    <row r="127" spans="1:10" s="141" customFormat="1" ht="12.75">
      <c r="A127" s="148"/>
      <c r="B127" s="146" t="str">
        <f>'WJ III ACH'!D55&amp;" ("&amp;I127&amp;")"</f>
        <v>Letter Word Identification (85 to 93)</v>
      </c>
      <c r="C127" s="145">
        <f t="shared" si="0"/>
        <v>85</v>
      </c>
      <c r="D127" s="145">
        <f t="shared" si="1"/>
        <v>8</v>
      </c>
      <c r="E127" s="145">
        <f t="shared" si="2"/>
        <v>107</v>
      </c>
      <c r="F127" s="145"/>
      <c r="G127" s="146">
        <f>'WJ III ACH'!E55</f>
        <v>89</v>
      </c>
      <c r="H127" s="145">
        <v>4</v>
      </c>
      <c r="I127" s="146" t="str">
        <f>'WJ III ACH'!G55</f>
        <v>85 to 93</v>
      </c>
      <c r="J127" s="147"/>
    </row>
    <row r="128" spans="1:10" s="141" customFormat="1" ht="12.75">
      <c r="A128" s="148"/>
      <c r="B128" s="146" t="str">
        <f>'WJ III ACH'!D56&amp;" ("&amp;I128&amp;")"</f>
        <v>Word Attack (83 to 103)</v>
      </c>
      <c r="C128" s="145">
        <f t="shared" si="0"/>
        <v>83</v>
      </c>
      <c r="D128" s="145">
        <f t="shared" si="1"/>
        <v>20</v>
      </c>
      <c r="E128" s="145">
        <f t="shared" si="2"/>
        <v>97</v>
      </c>
      <c r="F128" s="145"/>
      <c r="G128" s="146">
        <f>'WJ III ACH'!E56</f>
        <v>93</v>
      </c>
      <c r="H128" s="145">
        <v>10</v>
      </c>
      <c r="I128" s="146" t="str">
        <f>'WJ III ACH'!G56</f>
        <v>83 to 103</v>
      </c>
      <c r="J128" s="147"/>
    </row>
    <row r="129" spans="1:10" s="141" customFormat="1" ht="5.25" customHeight="1">
      <c r="A129" s="148"/>
      <c r="B129" s="145"/>
      <c r="C129" s="145">
        <f t="shared" si="0"/>
      </c>
      <c r="D129" s="145">
        <f t="shared" si="1"/>
      </c>
      <c r="E129" s="145">
        <f t="shared" si="2"/>
      </c>
      <c r="F129" s="145"/>
      <c r="G129" s="145"/>
      <c r="H129" s="145"/>
      <c r="I129" s="146"/>
      <c r="J129" s="147"/>
    </row>
    <row r="130" spans="1:10" s="141" customFormat="1" ht="12.75">
      <c r="A130" s="148"/>
      <c r="B130" s="146" t="str">
        <f>'WJ III ACH'!D62&amp;" ("&amp;I130&amp;")"</f>
        <v>Reading Comprehension (92 to 106)</v>
      </c>
      <c r="C130" s="145">
        <f t="shared" si="0"/>
        <v>92</v>
      </c>
      <c r="D130" s="145">
        <f t="shared" si="1"/>
        <v>14</v>
      </c>
      <c r="E130" s="145">
        <f t="shared" si="2"/>
        <v>94</v>
      </c>
      <c r="F130" s="145"/>
      <c r="G130" s="146">
        <f>'WJ III ACH'!E62</f>
        <v>99</v>
      </c>
      <c r="H130" s="145">
        <v>7</v>
      </c>
      <c r="I130" s="146" t="str">
        <f>'WJ III ACH'!G62</f>
        <v>92 to 106</v>
      </c>
      <c r="J130" s="147"/>
    </row>
    <row r="131" spans="1:10" s="141" customFormat="1" ht="12.75">
      <c r="A131" s="148"/>
      <c r="B131" s="146" t="str">
        <f>'WJ III ACH'!D64&amp;" ("&amp;I131&amp;")"</f>
        <v>Passage Comprehension (85 to 101)</v>
      </c>
      <c r="C131" s="145">
        <f t="shared" si="0"/>
        <v>85</v>
      </c>
      <c r="D131" s="145">
        <f t="shared" si="1"/>
        <v>16</v>
      </c>
      <c r="E131" s="145">
        <f t="shared" si="2"/>
        <v>99</v>
      </c>
      <c r="F131" s="145"/>
      <c r="G131" s="146">
        <f>'WJ III ACH'!E64</f>
        <v>93</v>
      </c>
      <c r="H131" s="145">
        <v>8</v>
      </c>
      <c r="I131" s="146" t="str">
        <f>'WJ III ACH'!G64</f>
        <v>85 to 101</v>
      </c>
      <c r="J131" s="147"/>
    </row>
    <row r="132" spans="1:10" s="141" customFormat="1" ht="12.75">
      <c r="A132" s="148"/>
      <c r="B132" s="146" t="str">
        <f>'WJ III ACH'!D65&amp;" ("&amp;I132&amp;")"</f>
        <v>Reading Vocabulary (103 to 115)</v>
      </c>
      <c r="C132" s="145">
        <f t="shared" si="0"/>
        <v>103</v>
      </c>
      <c r="D132" s="145">
        <f t="shared" si="1"/>
        <v>12</v>
      </c>
      <c r="E132" s="145">
        <f t="shared" si="2"/>
        <v>85</v>
      </c>
      <c r="F132" s="145"/>
      <c r="G132" s="146">
        <f>'WJ III ACH'!E65</f>
        <v>109</v>
      </c>
      <c r="H132" s="145">
        <v>6</v>
      </c>
      <c r="I132" s="146" t="str">
        <f>'WJ III ACH'!G65</f>
        <v>103 to 115</v>
      </c>
      <c r="J132" s="147"/>
    </row>
    <row r="133" spans="1:10" s="141" customFormat="1" ht="3" customHeight="1">
      <c r="A133" s="148"/>
      <c r="B133" s="145"/>
      <c r="C133" s="145">
        <f t="shared" si="0"/>
      </c>
      <c r="D133" s="145">
        <f t="shared" si="1"/>
      </c>
      <c r="E133" s="145">
        <f t="shared" si="2"/>
      </c>
      <c r="F133" s="145"/>
      <c r="G133" s="145"/>
      <c r="H133" s="145"/>
      <c r="I133" s="146"/>
      <c r="J133" s="147"/>
    </row>
    <row r="134" spans="1:10" s="141" customFormat="1" ht="12.75">
      <c r="A134" s="148"/>
      <c r="B134" s="146" t="str">
        <f>'WJ III ACH'!D70&amp;" ("&amp;I134&amp;")"</f>
        <v>Oral Language ()</v>
      </c>
      <c r="C134" s="145">
        <f t="shared" si="0"/>
      </c>
      <c r="D134" s="145">
        <f t="shared" si="1"/>
      </c>
      <c r="E134" s="145">
        <f t="shared" si="2"/>
      </c>
      <c r="F134" s="145"/>
      <c r="G134" s="146">
        <f>'WJ III ACH'!E70</f>
      </c>
      <c r="H134" s="145">
        <v>6</v>
      </c>
      <c r="I134" s="146">
        <f>'WJ III ACH'!G70</f>
      </c>
      <c r="J134" s="147"/>
    </row>
    <row r="135" spans="1:10" s="141" customFormat="1" ht="12.75">
      <c r="A135" s="148"/>
      <c r="B135" s="146" t="str">
        <f>'WJ III ACH'!D72&amp;" ("&amp;I135&amp;")"</f>
        <v>Story Recall (87 to 131)</v>
      </c>
      <c r="C135" s="145">
        <f t="shared" si="0"/>
        <v>87</v>
      </c>
      <c r="D135" s="145">
        <f t="shared" si="1"/>
        <v>44</v>
      </c>
      <c r="E135" s="145">
        <f t="shared" si="2"/>
        <v>69</v>
      </c>
      <c r="F135" s="145"/>
      <c r="G135" s="146">
        <f>'WJ III ACH'!E72</f>
        <v>109</v>
      </c>
      <c r="H135" s="145">
        <v>22</v>
      </c>
      <c r="I135" s="146" t="str">
        <f>'WJ III ACH'!G72</f>
        <v>87 to 131</v>
      </c>
      <c r="J135" s="147"/>
    </row>
    <row r="136" spans="1:10" s="141" customFormat="1" ht="12.75">
      <c r="A136" s="148"/>
      <c r="B136" s="146" t="str">
        <f>'WJ III ACH'!D73&amp;" ("&amp;I136&amp;")"</f>
        <v>Understanding Directions ()</v>
      </c>
      <c r="C136" s="145">
        <f t="shared" si="0"/>
      </c>
      <c r="D136" s="145">
        <f t="shared" si="1"/>
      </c>
      <c r="E136" s="145">
        <f t="shared" si="2"/>
      </c>
      <c r="F136" s="145"/>
      <c r="G136" s="146">
        <f>'WJ III ACH'!E73</f>
      </c>
      <c r="H136" s="145">
        <v>8</v>
      </c>
      <c r="I136" s="146">
        <f>'WJ III ACH'!G73</f>
      </c>
      <c r="J136" s="147"/>
    </row>
    <row r="137" spans="1:10" s="141" customFormat="1" ht="12.75">
      <c r="A137" s="148"/>
      <c r="B137" s="146" t="str">
        <f>'WJ III ACH'!D74&amp;" ("&amp;I137&amp;")"</f>
        <v>Picture Vocabulary (89 to 109)</v>
      </c>
      <c r="C137" s="145">
        <f t="shared" si="0"/>
        <v>89</v>
      </c>
      <c r="D137" s="145">
        <f t="shared" si="1"/>
        <v>20</v>
      </c>
      <c r="E137" s="145">
        <f t="shared" si="2"/>
        <v>91</v>
      </c>
      <c r="F137" s="145"/>
      <c r="G137" s="146">
        <f>'WJ III ACH'!E74</f>
        <v>99</v>
      </c>
      <c r="H137" s="145">
        <v>10</v>
      </c>
      <c r="I137" s="146" t="str">
        <f>'WJ III ACH'!G74</f>
        <v>89 to 109</v>
      </c>
      <c r="J137" s="147"/>
    </row>
    <row r="138" spans="1:10" s="141" customFormat="1" ht="12.75">
      <c r="A138" s="148"/>
      <c r="B138" s="146" t="str">
        <f>'WJ III ACH'!D75&amp;" ("&amp;I138&amp;")"</f>
        <v>Oral Comprehension (103 to 123)</v>
      </c>
      <c r="C138" s="145">
        <f t="shared" si="0"/>
        <v>103</v>
      </c>
      <c r="D138" s="145">
        <f t="shared" si="1"/>
        <v>20</v>
      </c>
      <c r="E138" s="145">
        <f t="shared" si="2"/>
        <v>77</v>
      </c>
      <c r="F138" s="145"/>
      <c r="G138" s="146">
        <f>'WJ III ACH'!E75</f>
        <v>113</v>
      </c>
      <c r="H138" s="145">
        <v>10</v>
      </c>
      <c r="I138" s="146" t="str">
        <f>'WJ III ACH'!G75</f>
        <v>103 to 123</v>
      </c>
      <c r="J138" s="147"/>
    </row>
    <row r="139" spans="1:10" s="141" customFormat="1" ht="12.75">
      <c r="A139" s="148"/>
      <c r="B139" s="145"/>
      <c r="C139" s="145">
        <f t="shared" si="0"/>
      </c>
      <c r="D139" s="145">
        <f t="shared" si="1"/>
      </c>
      <c r="E139" s="145">
        <f t="shared" si="2"/>
      </c>
      <c r="F139" s="145"/>
      <c r="G139" s="145"/>
      <c r="H139" s="145"/>
      <c r="I139" s="146"/>
      <c r="J139" s="147"/>
    </row>
    <row r="140" spans="1:10" s="141" customFormat="1" ht="12.75">
      <c r="A140" s="148"/>
      <c r="B140" s="146" t="str">
        <f>'WJ III ACH'!D79&amp;" ("&amp;I140&amp;")"</f>
        <v>Listening Comprehension ()</v>
      </c>
      <c r="C140" s="145">
        <f t="shared" si="0"/>
      </c>
      <c r="D140" s="145">
        <f t="shared" si="1"/>
      </c>
      <c r="E140" s="145">
        <f t="shared" si="2"/>
      </c>
      <c r="F140" s="145"/>
      <c r="G140" s="146">
        <f>'WJ III ACH'!E79</f>
      </c>
      <c r="H140" s="145">
        <v>6</v>
      </c>
      <c r="I140" s="146">
        <f>'WJ III ACH'!G79</f>
      </c>
      <c r="J140" s="147"/>
    </row>
    <row r="141" spans="1:10" s="141" customFormat="1" ht="12.75">
      <c r="A141" s="148"/>
      <c r="B141" s="146" t="str">
        <f>'WJ III ACH'!D81&amp;" ("&amp;I141&amp;")"</f>
        <v>Understanding Directions ()</v>
      </c>
      <c r="C141" s="145">
        <f t="shared" si="0"/>
      </c>
      <c r="D141" s="145">
        <f t="shared" si="1"/>
      </c>
      <c r="E141" s="145">
        <f t="shared" si="2"/>
      </c>
      <c r="F141" s="145"/>
      <c r="G141" s="146">
        <f>'WJ III ACH'!E81</f>
      </c>
      <c r="H141" s="145">
        <v>8</v>
      </c>
      <c r="I141" s="146">
        <f>'WJ III ACH'!G81</f>
      </c>
      <c r="J141" s="147"/>
    </row>
    <row r="142" spans="1:10" s="141" customFormat="1" ht="12.75">
      <c r="A142" s="148"/>
      <c r="B142" s="146" t="str">
        <f>'WJ III ACH'!D82&amp;" ("&amp;I142&amp;")"</f>
        <v>Oral Comprehension (103 to 123)</v>
      </c>
      <c r="C142" s="145">
        <f t="shared" si="0"/>
        <v>103</v>
      </c>
      <c r="D142" s="145">
        <f t="shared" si="1"/>
        <v>20</v>
      </c>
      <c r="E142" s="145">
        <f t="shared" si="2"/>
        <v>77</v>
      </c>
      <c r="F142" s="145"/>
      <c r="G142" s="146">
        <f>'WJ III ACH'!E82</f>
        <v>113</v>
      </c>
      <c r="H142" s="145">
        <v>10</v>
      </c>
      <c r="I142" s="146" t="str">
        <f>'WJ III ACH'!G82</f>
        <v>103 to 123</v>
      </c>
      <c r="J142" s="147"/>
    </row>
    <row r="143" spans="1:10" s="141" customFormat="1" ht="12.75">
      <c r="A143" s="148"/>
      <c r="B143" s="145"/>
      <c r="C143" s="145">
        <f t="shared" si="0"/>
      </c>
      <c r="D143" s="145">
        <f t="shared" si="1"/>
      </c>
      <c r="E143" s="145">
        <f t="shared" si="2"/>
      </c>
      <c r="F143" s="145"/>
      <c r="G143" s="145"/>
      <c r="H143" s="145"/>
      <c r="I143" s="146"/>
      <c r="J143" s="147"/>
    </row>
    <row r="144" spans="1:10" s="141" customFormat="1" ht="12.75">
      <c r="A144" s="148"/>
      <c r="B144" s="146" t="str">
        <f>'WJ III ACH'!D87&amp;" ("&amp;I144&amp;")"</f>
        <v>Oral Expression (92 to 112)</v>
      </c>
      <c r="C144" s="145">
        <f t="shared" si="0"/>
        <v>92</v>
      </c>
      <c r="D144" s="145">
        <f t="shared" si="1"/>
        <v>20</v>
      </c>
      <c r="E144" s="145">
        <f t="shared" si="2"/>
        <v>88</v>
      </c>
      <c r="F144" s="145"/>
      <c r="G144" s="146">
        <f>'WJ III ACH'!E87</f>
        <v>102</v>
      </c>
      <c r="H144" s="145">
        <v>10</v>
      </c>
      <c r="I144" s="146" t="str">
        <f>'WJ III ACH'!G87</f>
        <v>92 to 112</v>
      </c>
      <c r="J144" s="147"/>
    </row>
    <row r="145" spans="1:10" s="141" customFormat="1" ht="12.75">
      <c r="A145" s="148"/>
      <c r="B145" s="146" t="str">
        <f>'WJ III ACH'!D89&amp;" ("&amp;I145&amp;")"</f>
        <v>Story Recall (87 to 131)</v>
      </c>
      <c r="C145" s="145">
        <f t="shared" si="0"/>
        <v>87</v>
      </c>
      <c r="D145" s="145">
        <f t="shared" si="1"/>
        <v>44</v>
      </c>
      <c r="E145" s="145">
        <f t="shared" si="2"/>
        <v>69</v>
      </c>
      <c r="F145" s="145"/>
      <c r="G145" s="146">
        <f>'WJ III ACH'!E89</f>
        <v>109</v>
      </c>
      <c r="H145" s="145">
        <v>22</v>
      </c>
      <c r="I145" s="146" t="str">
        <f>'WJ III ACH'!G89</f>
        <v>87 to 131</v>
      </c>
      <c r="J145" s="147"/>
    </row>
    <row r="146" spans="1:10" s="141" customFormat="1" ht="12.75">
      <c r="A146" s="148"/>
      <c r="B146" s="146" t="str">
        <f>'WJ III ACH'!D90&amp;" ("&amp;I146&amp;")"</f>
        <v>Picture Vocabulary (89 to 109)</v>
      </c>
      <c r="C146" s="145">
        <f t="shared" si="0"/>
        <v>89</v>
      </c>
      <c r="D146" s="145">
        <f t="shared" si="1"/>
        <v>20</v>
      </c>
      <c r="E146" s="145">
        <f t="shared" si="2"/>
        <v>91</v>
      </c>
      <c r="F146" s="145"/>
      <c r="G146" s="146">
        <f>'WJ III ACH'!E90</f>
        <v>99</v>
      </c>
      <c r="H146" s="145">
        <v>10</v>
      </c>
      <c r="I146" s="146" t="str">
        <f>'WJ III ACH'!G90</f>
        <v>89 to 109</v>
      </c>
      <c r="J146" s="147"/>
    </row>
    <row r="147" spans="1:10" s="141" customFormat="1" ht="12.75">
      <c r="A147" s="148"/>
      <c r="B147" s="145"/>
      <c r="C147" s="145">
        <f t="shared" si="0"/>
      </c>
      <c r="D147" s="145">
        <f t="shared" si="1"/>
      </c>
      <c r="E147" s="145">
        <f t="shared" si="2"/>
      </c>
      <c r="F147" s="145"/>
      <c r="G147" s="145"/>
      <c r="H147" s="145"/>
      <c r="I147" s="146"/>
      <c r="J147" s="147"/>
    </row>
    <row r="148" spans="1:10" s="141" customFormat="1" ht="12.75">
      <c r="A148" s="148"/>
      <c r="B148" s="146" t="str">
        <f>'WJ III ACH'!D94&amp;" ("&amp;I148&amp;")"</f>
        <v>Broad Math (89 to 101)</v>
      </c>
      <c r="C148" s="145">
        <f t="shared" si="0"/>
        <v>89</v>
      </c>
      <c r="D148" s="145">
        <f t="shared" si="1"/>
        <v>12</v>
      </c>
      <c r="E148" s="145">
        <f t="shared" si="2"/>
        <v>99</v>
      </c>
      <c r="F148" s="145"/>
      <c r="G148" s="146">
        <f>'WJ III ACH'!E94</f>
        <v>95</v>
      </c>
      <c r="H148" s="145">
        <v>6</v>
      </c>
      <c r="I148" s="146" t="str">
        <f>'WJ III ACH'!G94</f>
        <v>89 to 101</v>
      </c>
      <c r="J148" s="147"/>
    </row>
    <row r="149" spans="1:10" s="141" customFormat="1" ht="12.75">
      <c r="A149" s="148"/>
      <c r="B149" s="146" t="str">
        <f>'WJ III ACH'!D96&amp;" ("&amp;I149&amp;")"</f>
        <v>Calculations (88 to 104)</v>
      </c>
      <c r="C149" s="145">
        <f t="shared" si="0"/>
        <v>88</v>
      </c>
      <c r="D149" s="145">
        <f t="shared" si="1"/>
        <v>16</v>
      </c>
      <c r="E149" s="145">
        <f t="shared" si="2"/>
        <v>96</v>
      </c>
      <c r="F149" s="145"/>
      <c r="G149" s="146">
        <f>'WJ III ACH'!E96</f>
        <v>96</v>
      </c>
      <c r="H149" s="145">
        <v>8</v>
      </c>
      <c r="I149" s="146" t="str">
        <f>'WJ III ACH'!G96</f>
        <v>88 to 104</v>
      </c>
      <c r="J149" s="147"/>
    </row>
    <row r="150" spans="1:10" s="141" customFormat="1" ht="12.75">
      <c r="A150" s="148"/>
      <c r="B150" s="146" t="str">
        <f>'WJ III ACH'!D97&amp;" ("&amp;I150&amp;")"</f>
        <v>Math Fluency (76 to 88)</v>
      </c>
      <c r="C150" s="145">
        <f t="shared" si="0"/>
        <v>76</v>
      </c>
      <c r="D150" s="145">
        <f t="shared" si="1"/>
        <v>12</v>
      </c>
      <c r="E150" s="145">
        <f t="shared" si="2"/>
        <v>112</v>
      </c>
      <c r="F150" s="145"/>
      <c r="G150" s="146">
        <f>'WJ III ACH'!E97</f>
        <v>82</v>
      </c>
      <c r="H150" s="145">
        <v>6</v>
      </c>
      <c r="I150" s="146" t="str">
        <f>'WJ III ACH'!G97</f>
        <v>76 to 88</v>
      </c>
      <c r="J150" s="147"/>
    </row>
    <row r="151" spans="1:10" s="141" customFormat="1" ht="12.75">
      <c r="A151" s="148"/>
      <c r="B151" s="146" t="str">
        <f>'WJ III ACH'!D98&amp;" ("&amp;I151&amp;")"</f>
        <v>Applied Problems (95 to 103)</v>
      </c>
      <c r="C151" s="145">
        <f t="shared" si="0"/>
        <v>95</v>
      </c>
      <c r="D151" s="145">
        <f t="shared" si="1"/>
        <v>8</v>
      </c>
      <c r="E151" s="145">
        <f t="shared" si="2"/>
        <v>97</v>
      </c>
      <c r="F151" s="145"/>
      <c r="G151" s="146">
        <f>'WJ III ACH'!E98</f>
        <v>99</v>
      </c>
      <c r="H151" s="145">
        <v>4</v>
      </c>
      <c r="I151" s="146" t="str">
        <f>'WJ III ACH'!G98</f>
        <v>95 to 103</v>
      </c>
      <c r="J151" s="147"/>
    </row>
    <row r="152" spans="1:10" s="141" customFormat="1" ht="12.75">
      <c r="A152" s="148"/>
      <c r="B152" s="145"/>
      <c r="C152" s="145">
        <f t="shared" si="0"/>
      </c>
      <c r="D152" s="145">
        <f t="shared" si="1"/>
      </c>
      <c r="E152" s="145">
        <f t="shared" si="2"/>
      </c>
      <c r="F152" s="145"/>
      <c r="G152" s="145"/>
      <c r="H152" s="145"/>
      <c r="I152" s="146"/>
      <c r="J152" s="147"/>
    </row>
    <row r="153" spans="1:10" s="141" customFormat="1" ht="12.75">
      <c r="A153" s="148"/>
      <c r="B153" s="146" t="str">
        <f>'WJ III ACH'!D102&amp;" ("&amp;I153&amp;")"</f>
        <v>Math Calculation Skills (85 to 99)</v>
      </c>
      <c r="C153" s="145">
        <f t="shared" si="0"/>
        <v>85</v>
      </c>
      <c r="D153" s="145">
        <f t="shared" si="1"/>
        <v>14</v>
      </c>
      <c r="E153" s="145">
        <f t="shared" si="2"/>
        <v>101</v>
      </c>
      <c r="F153" s="145"/>
      <c r="G153" s="146">
        <f>'WJ III ACH'!E102</f>
        <v>92</v>
      </c>
      <c r="H153" s="145">
        <v>7</v>
      </c>
      <c r="I153" s="146" t="str">
        <f>'WJ III ACH'!G102</f>
        <v>85 to 99</v>
      </c>
      <c r="J153" s="147"/>
    </row>
    <row r="154" spans="1:10" s="141" customFormat="1" ht="12.75">
      <c r="A154" s="148"/>
      <c r="B154" s="146" t="str">
        <f>'WJ III ACH'!D104&amp;" ("&amp;I154&amp;")"</f>
        <v>Calculations (88 to 104)</v>
      </c>
      <c r="C154" s="145">
        <f t="shared" si="0"/>
        <v>88</v>
      </c>
      <c r="D154" s="145">
        <f t="shared" si="1"/>
        <v>16</v>
      </c>
      <c r="E154" s="145">
        <f t="shared" si="2"/>
        <v>96</v>
      </c>
      <c r="F154" s="145"/>
      <c r="G154" s="146">
        <f>'WJ III ACH'!E104</f>
        <v>96</v>
      </c>
      <c r="H154" s="145">
        <v>8</v>
      </c>
      <c r="I154" s="146" t="str">
        <f>'WJ III ACH'!G104</f>
        <v>88 to 104</v>
      </c>
      <c r="J154" s="147"/>
    </row>
    <row r="155" spans="1:10" s="141" customFormat="1" ht="12.75">
      <c r="A155" s="148"/>
      <c r="B155" s="146" t="str">
        <f>'WJ III ACH'!D105&amp;" ("&amp;I155&amp;")"</f>
        <v>Math Fluency (76 to 88)</v>
      </c>
      <c r="C155" s="145">
        <f t="shared" si="0"/>
        <v>76</v>
      </c>
      <c r="D155" s="145">
        <f t="shared" si="1"/>
        <v>12</v>
      </c>
      <c r="E155" s="145">
        <f t="shared" si="2"/>
        <v>112</v>
      </c>
      <c r="F155" s="145"/>
      <c r="G155" s="146">
        <f>'WJ III ACH'!E105</f>
        <v>82</v>
      </c>
      <c r="H155" s="145">
        <v>6</v>
      </c>
      <c r="I155" s="146" t="str">
        <f>'WJ III ACH'!G105</f>
        <v>76 to 88</v>
      </c>
      <c r="J155" s="147"/>
    </row>
    <row r="156" spans="1:10" s="141" customFormat="1" ht="12.75">
      <c r="A156" s="148"/>
      <c r="B156" s="145"/>
      <c r="C156" s="145">
        <f t="shared" si="0"/>
      </c>
      <c r="D156" s="145">
        <f t="shared" si="1"/>
      </c>
      <c r="E156" s="145">
        <f t="shared" si="2"/>
      </c>
      <c r="F156" s="145"/>
      <c r="G156" s="145"/>
      <c r="H156" s="145"/>
      <c r="I156" s="146"/>
      <c r="J156" s="147"/>
    </row>
    <row r="157" spans="1:10" s="141" customFormat="1" ht="12.75">
      <c r="A157" s="148"/>
      <c r="B157" s="146" t="str">
        <f>'WJ III ACH'!D109&amp;" ("&amp;I157&amp;")"</f>
        <v>Math Reasoning (94 to 108)</v>
      </c>
      <c r="C157" s="145">
        <f t="shared" si="0"/>
        <v>94</v>
      </c>
      <c r="D157" s="145">
        <f t="shared" si="1"/>
        <v>14</v>
      </c>
      <c r="E157" s="145">
        <f t="shared" si="2"/>
        <v>92</v>
      </c>
      <c r="F157" s="145"/>
      <c r="G157" s="146">
        <f>'WJ III ACH'!E109</f>
        <v>101</v>
      </c>
      <c r="H157" s="145">
        <v>7</v>
      </c>
      <c r="I157" s="146" t="str">
        <f>'WJ III ACH'!G109</f>
        <v>94 to 108</v>
      </c>
      <c r="J157" s="147"/>
    </row>
    <row r="158" spans="1:10" s="141" customFormat="1" ht="12.75">
      <c r="A158" s="148"/>
      <c r="B158" s="146" t="str">
        <f>'WJ III ACH'!D111&amp;" ("&amp;I158&amp;")"</f>
        <v>Applied Problems (95 to 103)</v>
      </c>
      <c r="C158" s="145">
        <f t="shared" si="0"/>
        <v>95</v>
      </c>
      <c r="D158" s="145">
        <f t="shared" si="1"/>
        <v>8</v>
      </c>
      <c r="E158" s="145">
        <f t="shared" si="2"/>
        <v>97</v>
      </c>
      <c r="F158" s="145"/>
      <c r="G158" s="146">
        <f>'WJ III ACH'!E111</f>
        <v>99</v>
      </c>
      <c r="H158" s="145">
        <v>4</v>
      </c>
      <c r="I158" s="146" t="str">
        <f>'WJ III ACH'!G111</f>
        <v>95 to 103</v>
      </c>
      <c r="J158" s="147"/>
    </row>
    <row r="159" spans="1:10" s="141" customFormat="1" ht="12.75">
      <c r="A159" s="148"/>
      <c r="B159" s="146" t="str">
        <f>'WJ III ACH'!D112&amp;" ("&amp;I159&amp;")"</f>
        <v>Quantitative Concepts (96 to 112)</v>
      </c>
      <c r="C159" s="145">
        <f t="shared" si="0"/>
        <v>96</v>
      </c>
      <c r="D159" s="145">
        <f t="shared" si="1"/>
        <v>16</v>
      </c>
      <c r="E159" s="145">
        <f t="shared" si="2"/>
        <v>88</v>
      </c>
      <c r="F159" s="145"/>
      <c r="G159" s="146">
        <f>'WJ III ACH'!E112</f>
        <v>104</v>
      </c>
      <c r="H159" s="145">
        <v>8</v>
      </c>
      <c r="I159" s="146" t="str">
        <f>'WJ III ACH'!G112</f>
        <v>96 to 112</v>
      </c>
      <c r="J159" s="147"/>
    </row>
    <row r="160" spans="1:10" s="141" customFormat="1" ht="12.75">
      <c r="A160" s="148"/>
      <c r="B160" s="145"/>
      <c r="C160" s="145">
        <f t="shared" si="0"/>
      </c>
      <c r="D160" s="145">
        <f t="shared" si="1"/>
      </c>
      <c r="E160" s="145">
        <f t="shared" si="2"/>
      </c>
      <c r="F160" s="145"/>
      <c r="G160" s="145"/>
      <c r="H160" s="145"/>
      <c r="I160" s="146"/>
      <c r="J160" s="147"/>
    </row>
    <row r="161" spans="1:10" s="141" customFormat="1" ht="12.75">
      <c r="A161" s="148"/>
      <c r="B161" s="146" t="str">
        <f>'WJ III ACH'!D116&amp;" ("&amp;I161&amp;")"</f>
        <v>Broad Written Language (86 to 98)</v>
      </c>
      <c r="C161" s="145">
        <f t="shared" si="0"/>
        <v>86</v>
      </c>
      <c r="D161" s="145">
        <f t="shared" si="1"/>
        <v>12</v>
      </c>
      <c r="E161" s="145">
        <f t="shared" si="2"/>
        <v>102</v>
      </c>
      <c r="F161" s="145"/>
      <c r="G161" s="146">
        <f>'WJ III ACH'!E116</f>
        <v>92</v>
      </c>
      <c r="H161" s="145">
        <v>6</v>
      </c>
      <c r="I161" s="146" t="str">
        <f>'WJ III ACH'!G116</f>
        <v>86 to 98</v>
      </c>
      <c r="J161" s="147"/>
    </row>
    <row r="162" spans="1:10" s="141" customFormat="1" ht="12.75">
      <c r="A162" s="148"/>
      <c r="B162" s="146" t="str">
        <f>'WJ III ACH'!D118&amp;" ("&amp;I162&amp;")"</f>
        <v>Spelling (89 to 101)</v>
      </c>
      <c r="C162" s="145">
        <f t="shared" si="0"/>
        <v>89</v>
      </c>
      <c r="D162" s="145">
        <f t="shared" si="1"/>
        <v>12</v>
      </c>
      <c r="E162" s="145">
        <f t="shared" si="2"/>
        <v>99</v>
      </c>
      <c r="F162" s="145"/>
      <c r="G162" s="146">
        <f>'WJ III ACH'!E118</f>
        <v>95</v>
      </c>
      <c r="H162" s="145">
        <v>6</v>
      </c>
      <c r="I162" s="146" t="str">
        <f>'WJ III ACH'!G118</f>
        <v>89 to 101</v>
      </c>
      <c r="J162" s="147"/>
    </row>
    <row r="163" spans="1:10" s="141" customFormat="1" ht="12.75">
      <c r="A163" s="148"/>
      <c r="B163" s="146" t="str">
        <f>'WJ III ACH'!D119&amp;" ("&amp;I163&amp;")"</f>
        <v>Writing Fluency (74 to 98)</v>
      </c>
      <c r="C163" s="145">
        <f t="shared" si="0"/>
        <v>74</v>
      </c>
      <c r="D163" s="145">
        <f t="shared" si="1"/>
        <v>24</v>
      </c>
      <c r="E163" s="145">
        <f t="shared" si="2"/>
        <v>102</v>
      </c>
      <c r="F163" s="145"/>
      <c r="G163" s="146">
        <f>'WJ III ACH'!E119</f>
        <v>86</v>
      </c>
      <c r="H163" s="145">
        <v>12</v>
      </c>
      <c r="I163" s="146" t="str">
        <f>'WJ III ACH'!G119</f>
        <v>74 to 98</v>
      </c>
      <c r="J163" s="147"/>
    </row>
    <row r="164" spans="1:10" s="141" customFormat="1" ht="12.75">
      <c r="A164" s="148"/>
      <c r="B164" s="146" t="str">
        <f>'WJ III ACH'!D120&amp;" ("&amp;I164&amp;")"</f>
        <v>Writing Samples (83 to 115)</v>
      </c>
      <c r="C164" s="145">
        <f t="shared" si="0"/>
        <v>83</v>
      </c>
      <c r="D164" s="145">
        <f t="shared" si="1"/>
        <v>32</v>
      </c>
      <c r="E164" s="145">
        <f t="shared" si="2"/>
        <v>85</v>
      </c>
      <c r="F164" s="145"/>
      <c r="G164" s="146">
        <f>'WJ III ACH'!E120</f>
        <v>99</v>
      </c>
      <c r="H164" s="145">
        <v>16</v>
      </c>
      <c r="I164" s="146" t="str">
        <f>'WJ III ACH'!G120</f>
        <v>83 to 115</v>
      </c>
      <c r="J164" s="147"/>
    </row>
    <row r="165" spans="1:10" s="141" customFormat="1" ht="12.75">
      <c r="A165" s="148"/>
      <c r="B165" s="145"/>
      <c r="C165" s="145">
        <f t="shared" si="0"/>
      </c>
      <c r="D165" s="145">
        <f t="shared" si="1"/>
      </c>
      <c r="E165" s="145">
        <f t="shared" si="2"/>
      </c>
      <c r="F165" s="145"/>
      <c r="G165" s="145"/>
      <c r="H165" s="145"/>
      <c r="I165" s="146"/>
      <c r="J165" s="147"/>
    </row>
    <row r="166" spans="1:10" s="141" customFormat="1" ht="12.75">
      <c r="A166" s="148"/>
      <c r="B166" s="146" t="str">
        <f>'WJ III ACH'!D124&amp;" ("&amp;I166&amp;")"</f>
        <v>Basic Writing Skills (97 to 111)</v>
      </c>
      <c r="C166" s="145">
        <f t="shared" si="0"/>
        <v>97</v>
      </c>
      <c r="D166" s="145">
        <f t="shared" si="1"/>
        <v>14</v>
      </c>
      <c r="E166" s="145">
        <f t="shared" si="2"/>
        <v>89</v>
      </c>
      <c r="F166" s="145"/>
      <c r="G166" s="146">
        <f>'WJ III ACH'!E124</f>
        <v>104</v>
      </c>
      <c r="H166" s="145">
        <v>7</v>
      </c>
      <c r="I166" s="146" t="str">
        <f>'WJ III ACH'!G124</f>
        <v>97 to 111</v>
      </c>
      <c r="J166" s="147"/>
    </row>
    <row r="167" spans="1:10" s="141" customFormat="1" ht="12.75">
      <c r="A167" s="148"/>
      <c r="B167" s="146" t="str">
        <f>'WJ III ACH'!D126&amp;" ("&amp;I167&amp;")"</f>
        <v>Spelling (89 to 101)</v>
      </c>
      <c r="C167" s="145">
        <f t="shared" si="0"/>
        <v>89</v>
      </c>
      <c r="D167" s="145">
        <f t="shared" si="1"/>
        <v>12</v>
      </c>
      <c r="E167" s="145">
        <f t="shared" si="2"/>
        <v>99</v>
      </c>
      <c r="F167" s="145"/>
      <c r="G167" s="146">
        <f>'WJ III ACH'!E126</f>
        <v>95</v>
      </c>
      <c r="H167" s="145">
        <v>6</v>
      </c>
      <c r="I167" s="146" t="str">
        <f>'WJ III ACH'!G126</f>
        <v>89 to 101</v>
      </c>
      <c r="J167" s="147"/>
    </row>
    <row r="168" spans="1:10" s="141" customFormat="1" ht="12.75">
      <c r="A168" s="148"/>
      <c r="B168" s="146" t="str">
        <f>'WJ III ACH'!D127&amp;" ("&amp;I168&amp;")"</f>
        <v>Editing (104 to 120)</v>
      </c>
      <c r="C168" s="145">
        <f t="shared" si="0"/>
        <v>104</v>
      </c>
      <c r="D168" s="145">
        <f t="shared" si="1"/>
        <v>16</v>
      </c>
      <c r="E168" s="145">
        <f t="shared" si="2"/>
        <v>80</v>
      </c>
      <c r="F168" s="145"/>
      <c r="G168" s="146">
        <f>'WJ III ACH'!E127</f>
        <v>112</v>
      </c>
      <c r="H168" s="145">
        <v>8</v>
      </c>
      <c r="I168" s="146" t="str">
        <f>'WJ III ACH'!G127</f>
        <v>104 to 120</v>
      </c>
      <c r="J168" s="147"/>
    </row>
    <row r="169" spans="1:10" s="141" customFormat="1" ht="12.75">
      <c r="A169" s="148"/>
      <c r="B169" s="145"/>
      <c r="C169" s="145">
        <f t="shared" si="0"/>
      </c>
      <c r="D169" s="145">
        <f t="shared" si="1"/>
      </c>
      <c r="E169" s="145">
        <f t="shared" si="2"/>
      </c>
      <c r="F169" s="145"/>
      <c r="G169" s="145"/>
      <c r="H169" s="145"/>
      <c r="I169" s="146"/>
      <c r="J169" s="147"/>
    </row>
    <row r="170" spans="1:10" s="141" customFormat="1" ht="12.75">
      <c r="A170" s="148"/>
      <c r="B170" s="146" t="str">
        <f>'WJ III ACH'!D131&amp;" ("&amp;I170&amp;")"</f>
        <v>Written Expression (82 to 96)</v>
      </c>
      <c r="C170" s="145">
        <f t="shared" si="0"/>
        <v>82</v>
      </c>
      <c r="D170" s="145">
        <f t="shared" si="1"/>
        <v>14</v>
      </c>
      <c r="E170" s="145">
        <f t="shared" si="2"/>
        <v>104</v>
      </c>
      <c r="F170" s="145"/>
      <c r="G170" s="146">
        <f>'WJ III ACH'!E131</f>
        <v>89</v>
      </c>
      <c r="H170" s="145">
        <v>7</v>
      </c>
      <c r="I170" s="146" t="str">
        <f>'WJ III ACH'!G131</f>
        <v>82 to 96</v>
      </c>
      <c r="J170" s="147"/>
    </row>
    <row r="171" spans="1:10" s="141" customFormat="1" ht="12.75">
      <c r="A171" s="148"/>
      <c r="B171" s="146" t="str">
        <f>'WJ III ACH'!D133&amp;" ("&amp;I171&amp;")"</f>
        <v>Writing Fluency (74 to 98)</v>
      </c>
      <c r="C171" s="145">
        <f t="shared" si="0"/>
        <v>74</v>
      </c>
      <c r="D171" s="145">
        <f t="shared" si="1"/>
        <v>24</v>
      </c>
      <c r="E171" s="145">
        <f t="shared" si="2"/>
        <v>102</v>
      </c>
      <c r="F171" s="145"/>
      <c r="G171" s="146">
        <f>'WJ III ACH'!E133</f>
        <v>86</v>
      </c>
      <c r="H171" s="145">
        <v>12</v>
      </c>
      <c r="I171" s="146" t="str">
        <f>'WJ III ACH'!G133</f>
        <v>74 to 98</v>
      </c>
      <c r="J171" s="147"/>
    </row>
    <row r="172" spans="1:10" s="141" customFormat="1" ht="12.75">
      <c r="A172" s="148"/>
      <c r="B172" s="146" t="str">
        <f>'WJ III ACH'!D134&amp;" ("&amp;I172&amp;")"</f>
        <v>Writing Samples (83 to 115)</v>
      </c>
      <c r="C172" s="145">
        <f t="shared" si="0"/>
        <v>83</v>
      </c>
      <c r="D172" s="145">
        <f t="shared" si="1"/>
        <v>32</v>
      </c>
      <c r="E172" s="145">
        <f t="shared" si="2"/>
        <v>85</v>
      </c>
      <c r="F172" s="145"/>
      <c r="G172" s="146">
        <f>'WJ III ACH'!E134</f>
        <v>99</v>
      </c>
      <c r="H172" s="145">
        <v>16</v>
      </c>
      <c r="I172" s="146" t="str">
        <f>'WJ III ACH'!G134</f>
        <v>83 to 115</v>
      </c>
      <c r="J172" s="147"/>
    </row>
    <row r="173" spans="1:10" s="141" customFormat="1" ht="12.75">
      <c r="A173" s="148"/>
      <c r="B173" s="145"/>
      <c r="C173" s="145">
        <f t="shared" si="0"/>
      </c>
      <c r="D173" s="145">
        <f t="shared" si="1"/>
      </c>
      <c r="E173" s="145">
        <f t="shared" si="2"/>
      </c>
      <c r="F173" s="145"/>
      <c r="G173" s="145"/>
      <c r="H173" s="145"/>
      <c r="I173" s="146"/>
      <c r="J173" s="147"/>
    </row>
    <row r="174" spans="1:10" s="141" customFormat="1" ht="12.75">
      <c r="A174" s="148"/>
      <c r="B174" s="146" t="str">
        <f>'WJ III ACH'!D138&amp;" ("&amp;I174&amp;")"</f>
        <v>Academic Knowledge (95 to 109)</v>
      </c>
      <c r="C174" s="145">
        <f t="shared" si="0"/>
        <v>95</v>
      </c>
      <c r="D174" s="145">
        <f t="shared" si="1"/>
        <v>14</v>
      </c>
      <c r="E174" s="145">
        <f t="shared" si="2"/>
        <v>91</v>
      </c>
      <c r="F174" s="145"/>
      <c r="G174" s="146">
        <f>'WJ III ACH'!E138</f>
        <v>102</v>
      </c>
      <c r="H174" s="145">
        <v>7</v>
      </c>
      <c r="I174" s="146" t="str">
        <f>'WJ III ACH'!G138</f>
        <v>95 to 109</v>
      </c>
      <c r="J174" s="147"/>
    </row>
    <row r="175" spans="1:10" s="141" customFormat="1" ht="12.75">
      <c r="A175" s="148"/>
      <c r="B175" s="145"/>
      <c r="C175" s="145">
        <f t="shared" si="0"/>
      </c>
      <c r="D175" s="145">
        <f t="shared" si="1"/>
      </c>
      <c r="E175" s="145">
        <f t="shared" si="2"/>
      </c>
      <c r="F175" s="145"/>
      <c r="G175" s="145"/>
      <c r="H175" s="145"/>
      <c r="I175" s="146"/>
      <c r="J175" s="147"/>
    </row>
    <row r="176" spans="1:10" s="141" customFormat="1" ht="12.75">
      <c r="A176" s="148"/>
      <c r="B176" s="146" t="str">
        <f>'WJ III ACH'!D142&amp;" ("&amp;I176&amp;")"</f>
        <v>Phoneme/Grapheme Knowledge (80 to 94)</v>
      </c>
      <c r="C176" s="145">
        <f t="shared" si="0"/>
        <v>80</v>
      </c>
      <c r="D176" s="145">
        <f t="shared" si="1"/>
        <v>14</v>
      </c>
      <c r="E176" s="145">
        <f t="shared" si="2"/>
        <v>106</v>
      </c>
      <c r="F176" s="145"/>
      <c r="G176" s="146">
        <f>'WJ III ACH'!E142</f>
        <v>87</v>
      </c>
      <c r="H176" s="145">
        <v>7</v>
      </c>
      <c r="I176" s="146" t="str">
        <f>'WJ III ACH'!G142</f>
        <v>80 to 94</v>
      </c>
      <c r="J176" s="147"/>
    </row>
    <row r="177" spans="1:10" s="141" customFormat="1" ht="12.75">
      <c r="A177" s="148"/>
      <c r="B177" s="146" t="str">
        <f>'WJ III ACH'!D144&amp;" ("&amp;I177&amp;")"</f>
        <v>Word Attack (83 to 103)</v>
      </c>
      <c r="C177" s="145">
        <f t="shared" si="0"/>
        <v>83</v>
      </c>
      <c r="D177" s="145">
        <f t="shared" si="1"/>
        <v>20</v>
      </c>
      <c r="E177" s="145">
        <f t="shared" si="2"/>
        <v>97</v>
      </c>
      <c r="F177" s="145"/>
      <c r="G177" s="146">
        <f>'WJ III ACH'!E144</f>
        <v>93</v>
      </c>
      <c r="H177" s="145">
        <v>10</v>
      </c>
      <c r="I177" s="146" t="str">
        <f>'WJ III ACH'!G144</f>
        <v>83 to 103</v>
      </c>
      <c r="J177" s="147"/>
    </row>
    <row r="178" spans="1:10" s="141" customFormat="1" ht="12.75">
      <c r="A178" s="148"/>
      <c r="B178" s="146" t="str">
        <f>'WJ III ACH'!D145&amp;" ("&amp;I178&amp;")"</f>
        <v>Spelling of Sounds (63 to 91)</v>
      </c>
      <c r="C178" s="145">
        <f t="shared" si="0"/>
        <v>63</v>
      </c>
      <c r="D178" s="145">
        <f t="shared" si="1"/>
        <v>28</v>
      </c>
      <c r="E178" s="145">
        <f t="shared" si="2"/>
        <v>109</v>
      </c>
      <c r="F178" s="145"/>
      <c r="G178" s="146">
        <f>'WJ III ACH'!E145</f>
        <v>77</v>
      </c>
      <c r="H178" s="145">
        <v>14</v>
      </c>
      <c r="I178" s="146" t="str">
        <f>'WJ III ACH'!G145</f>
        <v>63 to 91</v>
      </c>
      <c r="J178" s="147"/>
    </row>
    <row r="179" spans="1:10" s="141" customFormat="1" ht="12.75">
      <c r="A179" s="148"/>
      <c r="B179" s="145"/>
      <c r="C179" s="145">
        <f t="shared" si="0"/>
      </c>
      <c r="D179" s="145">
        <f t="shared" si="1"/>
      </c>
      <c r="E179" s="145">
        <f t="shared" si="2"/>
      </c>
      <c r="F179" s="145"/>
      <c r="G179" s="145"/>
      <c r="H179" s="145"/>
      <c r="I179" s="146"/>
      <c r="J179" s="147"/>
    </row>
    <row r="180" spans="1:10" s="144" customFormat="1" ht="11.25">
      <c r="A180" s="148"/>
      <c r="B180" s="146" t="str">
        <f>'WJ III ACH'!D149&amp;" ("&amp;I180&amp;")"</f>
        <v>Academic Skills (83 to 97)</v>
      </c>
      <c r="C180" s="145">
        <f t="shared" si="0"/>
        <v>83</v>
      </c>
      <c r="D180" s="145">
        <f t="shared" si="1"/>
        <v>14</v>
      </c>
      <c r="E180" s="145">
        <f t="shared" si="2"/>
        <v>103</v>
      </c>
      <c r="F180" s="145"/>
      <c r="G180" s="146">
        <f>'WJ III ACH'!E149</f>
        <v>90</v>
      </c>
      <c r="H180" s="145">
        <v>7</v>
      </c>
      <c r="I180" s="146" t="str">
        <f>'WJ III ACH'!G149</f>
        <v>83 to 97</v>
      </c>
      <c r="J180" s="145"/>
    </row>
    <row r="181" spans="1:10" s="144" customFormat="1" ht="11.25">
      <c r="A181" s="148"/>
      <c r="B181" s="146" t="str">
        <f>'WJ III ACH'!D151&amp;" ("&amp;I181&amp;")"</f>
        <v>Letter Word Identification (85 to 93)</v>
      </c>
      <c r="C181" s="145">
        <f t="shared" si="0"/>
        <v>85</v>
      </c>
      <c r="D181" s="145">
        <f t="shared" si="1"/>
        <v>8</v>
      </c>
      <c r="E181" s="145">
        <f t="shared" si="2"/>
        <v>107</v>
      </c>
      <c r="F181" s="145"/>
      <c r="G181" s="146">
        <f>'WJ III ACH'!E151</f>
        <v>89</v>
      </c>
      <c r="H181" s="145">
        <v>4</v>
      </c>
      <c r="I181" s="146" t="str">
        <f>'WJ III ACH'!G151</f>
        <v>85 to 93</v>
      </c>
      <c r="J181" s="145"/>
    </row>
    <row r="182" spans="1:10" s="144" customFormat="1" ht="11.25">
      <c r="A182" s="148"/>
      <c r="B182" s="146" t="str">
        <f>'WJ III ACH'!D152&amp;" ("&amp;I182&amp;")"</f>
        <v>Calculations (88 to 104)</v>
      </c>
      <c r="C182" s="145">
        <f t="shared" si="0"/>
        <v>88</v>
      </c>
      <c r="D182" s="145">
        <f t="shared" si="1"/>
        <v>16</v>
      </c>
      <c r="E182" s="145">
        <f t="shared" si="2"/>
        <v>96</v>
      </c>
      <c r="F182" s="145"/>
      <c r="G182" s="146">
        <f>'WJ III ACH'!E152</f>
        <v>96</v>
      </c>
      <c r="H182" s="145">
        <v>8</v>
      </c>
      <c r="I182" s="146" t="str">
        <f>'WJ III ACH'!G152</f>
        <v>88 to 104</v>
      </c>
      <c r="J182" s="145"/>
    </row>
    <row r="183" spans="1:10" s="144" customFormat="1" ht="11.25">
      <c r="A183" s="148"/>
      <c r="B183" s="146" t="str">
        <f>'WJ III ACH'!D153&amp;" ("&amp;I183&amp;")"</f>
        <v>Spelling (89 to 101)</v>
      </c>
      <c r="C183" s="145">
        <f t="shared" si="0"/>
        <v>89</v>
      </c>
      <c r="D183" s="145">
        <f t="shared" si="1"/>
        <v>12</v>
      </c>
      <c r="E183" s="145">
        <f t="shared" si="2"/>
        <v>99</v>
      </c>
      <c r="F183" s="145"/>
      <c r="G183" s="146">
        <f>'WJ III ACH'!E153</f>
        <v>95</v>
      </c>
      <c r="H183" s="145">
        <v>6</v>
      </c>
      <c r="I183" s="146" t="str">
        <f>'WJ III ACH'!G153</f>
        <v>89 to 101</v>
      </c>
      <c r="J183" s="145"/>
    </row>
    <row r="184" spans="1:10" s="144" customFormat="1" ht="11.25">
      <c r="A184" s="148"/>
      <c r="B184" s="145"/>
      <c r="C184" s="145">
        <f t="shared" si="0"/>
      </c>
      <c r="D184" s="145">
        <f t="shared" si="1"/>
      </c>
      <c r="E184" s="145">
        <f t="shared" si="2"/>
      </c>
      <c r="F184" s="145"/>
      <c r="G184" s="145"/>
      <c r="H184" s="145"/>
      <c r="I184" s="146"/>
      <c r="J184" s="145"/>
    </row>
    <row r="185" spans="1:10" s="144" customFormat="1" ht="11.25">
      <c r="A185" s="148"/>
      <c r="B185" s="146" t="str">
        <f>'WJ III ACH'!D157&amp;" ("&amp;I185&amp;")"</f>
        <v>Academic Fluency (75 to 89)</v>
      </c>
      <c r="C185" s="145">
        <f t="shared" si="0"/>
        <v>75</v>
      </c>
      <c r="D185" s="145">
        <f t="shared" si="1"/>
        <v>14</v>
      </c>
      <c r="E185" s="145">
        <f t="shared" si="2"/>
        <v>111</v>
      </c>
      <c r="F185" s="145"/>
      <c r="G185" s="146">
        <f>'WJ III ACH'!E157</f>
        <v>82</v>
      </c>
      <c r="H185" s="145">
        <v>7</v>
      </c>
      <c r="I185" s="146" t="str">
        <f>'WJ III ACH'!G157</f>
        <v>75 to 89</v>
      </c>
      <c r="J185" s="145"/>
    </row>
    <row r="186" spans="1:10" s="144" customFormat="1" ht="11.25">
      <c r="A186" s="148"/>
      <c r="B186" s="146" t="str">
        <f>'WJ III ACH'!D159&amp;" ("&amp;I186&amp;")"</f>
        <v>Reading Fluency (81 to 89)</v>
      </c>
      <c r="C186" s="145">
        <f aca="true" t="shared" si="3" ref="C186:C193">IF(G186="","",G186-H186)</f>
        <v>81</v>
      </c>
      <c r="D186" s="145">
        <f aca="true" t="shared" si="4" ref="D186:D193">IF(G186="","",2*H186)</f>
        <v>8</v>
      </c>
      <c r="E186" s="145">
        <f aca="true" t="shared" si="5" ref="E186:E193">IF(G186="","",200-(C186+D186))</f>
        <v>111</v>
      </c>
      <c r="F186" s="145"/>
      <c r="G186" s="146">
        <f>'WJ III ACH'!E159</f>
        <v>85</v>
      </c>
      <c r="H186" s="145">
        <v>4</v>
      </c>
      <c r="I186" s="146" t="str">
        <f>'WJ III ACH'!G159</f>
        <v>81 to 89</v>
      </c>
      <c r="J186" s="145"/>
    </row>
    <row r="187" spans="1:10" s="144" customFormat="1" ht="11.25">
      <c r="A187" s="148"/>
      <c r="B187" s="146" t="str">
        <f>'WJ III ACH'!D160&amp;" ("&amp;I187&amp;")"</f>
        <v>Math Fluency (76 to 88)</v>
      </c>
      <c r="C187" s="145">
        <f t="shared" si="3"/>
        <v>76</v>
      </c>
      <c r="D187" s="145">
        <f t="shared" si="4"/>
        <v>12</v>
      </c>
      <c r="E187" s="145">
        <f t="shared" si="5"/>
        <v>112</v>
      </c>
      <c r="F187" s="145"/>
      <c r="G187" s="146">
        <f>'WJ III ACH'!E160</f>
        <v>82</v>
      </c>
      <c r="H187" s="145">
        <v>6</v>
      </c>
      <c r="I187" s="146" t="str">
        <f>'WJ III ACH'!G160</f>
        <v>76 to 88</v>
      </c>
      <c r="J187" s="145"/>
    </row>
    <row r="188" spans="1:10" s="144" customFormat="1" ht="11.25">
      <c r="A188" s="148"/>
      <c r="B188" s="146" t="str">
        <f>'WJ III ACH'!D161&amp;" ("&amp;I188&amp;")"</f>
        <v>Writing Fluency (74 to 98)</v>
      </c>
      <c r="C188" s="145">
        <f t="shared" si="3"/>
        <v>74</v>
      </c>
      <c r="D188" s="145">
        <f t="shared" si="4"/>
        <v>24</v>
      </c>
      <c r="E188" s="145">
        <f t="shared" si="5"/>
        <v>102</v>
      </c>
      <c r="F188" s="145"/>
      <c r="G188" s="146">
        <f>'WJ III ACH'!E161</f>
        <v>86</v>
      </c>
      <c r="H188" s="145">
        <v>12</v>
      </c>
      <c r="I188" s="146" t="str">
        <f>'WJ III ACH'!G161</f>
        <v>74 to 98</v>
      </c>
      <c r="J188" s="145"/>
    </row>
    <row r="189" spans="1:10" s="144" customFormat="1" ht="11.25">
      <c r="A189" s="148"/>
      <c r="B189" s="145"/>
      <c r="C189" s="145">
        <f t="shared" si="3"/>
      </c>
      <c r="D189" s="145">
        <f t="shared" si="4"/>
      </c>
      <c r="E189" s="145">
        <f t="shared" si="5"/>
      </c>
      <c r="F189" s="145"/>
      <c r="G189" s="145"/>
      <c r="H189" s="145"/>
      <c r="I189" s="146"/>
      <c r="J189" s="145"/>
    </row>
    <row r="190" spans="1:10" s="144" customFormat="1" ht="11.25">
      <c r="A190" s="148"/>
      <c r="B190" s="146" t="str">
        <f>'WJ III ACH'!D165&amp;" ("&amp;I190&amp;")"</f>
        <v>Academic Applications (89 to 103)</v>
      </c>
      <c r="C190" s="145">
        <f t="shared" si="3"/>
        <v>89</v>
      </c>
      <c r="D190" s="145">
        <f t="shared" si="4"/>
        <v>14</v>
      </c>
      <c r="E190" s="145">
        <f t="shared" si="5"/>
        <v>97</v>
      </c>
      <c r="F190" s="145"/>
      <c r="G190" s="146">
        <f>'WJ III ACH'!E165</f>
        <v>96</v>
      </c>
      <c r="H190" s="145">
        <v>7</v>
      </c>
      <c r="I190" s="146" t="str">
        <f>'WJ III ACH'!G165</f>
        <v>89 to 103</v>
      </c>
      <c r="J190" s="145"/>
    </row>
    <row r="191" spans="1:10" s="144" customFormat="1" ht="11.25">
      <c r="A191" s="148"/>
      <c r="B191" s="146" t="str">
        <f>'WJ III ACH'!D167&amp;" ("&amp;I191&amp;")"</f>
        <v>Passage Comprehension (85 to 101)</v>
      </c>
      <c r="C191" s="145">
        <f t="shared" si="3"/>
        <v>85</v>
      </c>
      <c r="D191" s="145">
        <f t="shared" si="4"/>
        <v>16</v>
      </c>
      <c r="E191" s="145">
        <f t="shared" si="5"/>
        <v>99</v>
      </c>
      <c r="F191" s="145"/>
      <c r="G191" s="146">
        <f>'WJ III ACH'!E167</f>
        <v>93</v>
      </c>
      <c r="H191" s="145">
        <v>8</v>
      </c>
      <c r="I191" s="146" t="str">
        <f>'WJ III ACH'!G167</f>
        <v>85 to 101</v>
      </c>
      <c r="J191" s="145"/>
    </row>
    <row r="192" spans="1:10" s="144" customFormat="1" ht="11.25">
      <c r="A192" s="148"/>
      <c r="B192" s="146" t="str">
        <f>'WJ III ACH'!D168&amp;" ("&amp;I192&amp;")"</f>
        <v>Applied Problems (95 to 103)</v>
      </c>
      <c r="C192" s="145">
        <f t="shared" si="3"/>
        <v>95</v>
      </c>
      <c r="D192" s="145">
        <f t="shared" si="4"/>
        <v>8</v>
      </c>
      <c r="E192" s="145">
        <f t="shared" si="5"/>
        <v>97</v>
      </c>
      <c r="F192" s="145"/>
      <c r="G192" s="146">
        <f>'WJ III ACH'!E168</f>
        <v>99</v>
      </c>
      <c r="H192" s="145">
        <v>4</v>
      </c>
      <c r="I192" s="146" t="str">
        <f>'WJ III ACH'!G168</f>
        <v>95 to 103</v>
      </c>
      <c r="J192" s="145"/>
    </row>
    <row r="193" spans="1:10" s="144" customFormat="1" ht="11.25">
      <c r="A193" s="148"/>
      <c r="B193" s="146" t="str">
        <f>'WJ III ACH'!D169&amp;" ("&amp;I193&amp;")"</f>
        <v>Writing Samples (83 to 115)</v>
      </c>
      <c r="C193" s="145">
        <f t="shared" si="3"/>
        <v>83</v>
      </c>
      <c r="D193" s="145">
        <f t="shared" si="4"/>
        <v>32</v>
      </c>
      <c r="E193" s="145">
        <f t="shared" si="5"/>
        <v>85</v>
      </c>
      <c r="F193" s="145"/>
      <c r="G193" s="146">
        <f>'WJ III ACH'!E169</f>
        <v>99</v>
      </c>
      <c r="H193" s="145">
        <v>16</v>
      </c>
      <c r="I193" s="146" t="str">
        <f>'WJ III ACH'!G169</f>
        <v>83 to 115</v>
      </c>
      <c r="J193" s="145"/>
    </row>
    <row r="194" spans="1:10" s="144" customFormat="1" ht="11.25">
      <c r="A194" s="148"/>
      <c r="B194" s="148"/>
      <c r="C194" s="148"/>
      <c r="D194" s="148"/>
      <c r="E194" s="148"/>
      <c r="F194" s="148"/>
      <c r="G194" s="148"/>
      <c r="H194" s="148"/>
      <c r="I194" s="148"/>
      <c r="J194" s="145"/>
    </row>
    <row r="195" spans="1:10" s="142" customFormat="1" ht="11.25">
      <c r="A195" s="148"/>
      <c r="B195" s="148"/>
      <c r="C195" s="148"/>
      <c r="D195" s="148"/>
      <c r="E195" s="148"/>
      <c r="F195" s="148"/>
      <c r="G195" s="148"/>
      <c r="H195" s="148"/>
      <c r="I195" s="148"/>
      <c r="J195" s="148"/>
    </row>
    <row r="196" spans="1:10" s="142" customFormat="1" ht="11.25">
      <c r="A196" s="148"/>
      <c r="B196" s="148"/>
      <c r="C196" s="148"/>
      <c r="D196" s="148"/>
      <c r="E196" s="148"/>
      <c r="F196" s="148"/>
      <c r="G196" s="148"/>
      <c r="H196" s="148"/>
      <c r="I196" s="148"/>
      <c r="J196" s="148"/>
    </row>
    <row r="197" spans="1:10" s="142" customFormat="1" ht="11.25">
      <c r="A197" s="148"/>
      <c r="B197" s="148"/>
      <c r="C197" s="148"/>
      <c r="D197" s="148"/>
      <c r="E197" s="148"/>
      <c r="F197" s="148"/>
      <c r="G197" s="148"/>
      <c r="H197" s="148"/>
      <c r="I197" s="148"/>
      <c r="J197" s="148"/>
    </row>
    <row r="198" spans="1:10" s="142" customFormat="1" ht="11.25">
      <c r="A198" s="148"/>
      <c r="B198" s="148"/>
      <c r="C198" s="148"/>
      <c r="D198" s="148"/>
      <c r="E198" s="148"/>
      <c r="F198" s="148"/>
      <c r="G198" s="148"/>
      <c r="H198" s="148"/>
      <c r="I198" s="148"/>
      <c r="J198" s="148"/>
    </row>
    <row r="199" spans="1:10" s="142" customFormat="1" ht="11.25">
      <c r="A199" s="148"/>
      <c r="B199" s="148"/>
      <c r="C199" s="148"/>
      <c r="D199" s="148"/>
      <c r="E199" s="148"/>
      <c r="F199" s="148"/>
      <c r="G199" s="148"/>
      <c r="H199" s="148"/>
      <c r="I199" s="148"/>
      <c r="J199" s="148"/>
    </row>
    <row r="200" spans="1:10" s="142" customFormat="1" ht="11.25">
      <c r="A200" s="148"/>
      <c r="B200" s="148"/>
      <c r="C200" s="148"/>
      <c r="D200" s="148"/>
      <c r="E200" s="148"/>
      <c r="F200" s="148"/>
      <c r="G200" s="148"/>
      <c r="H200" s="148"/>
      <c r="I200" s="148"/>
      <c r="J200" s="148"/>
    </row>
    <row r="201" spans="1:10" s="142" customFormat="1" ht="11.25">
      <c r="A201" s="148"/>
      <c r="B201" s="148"/>
      <c r="C201" s="148"/>
      <c r="D201" s="148"/>
      <c r="E201" s="148"/>
      <c r="F201" s="148"/>
      <c r="G201" s="148"/>
      <c r="H201" s="148"/>
      <c r="I201" s="148"/>
      <c r="J201" s="148"/>
    </row>
    <row r="202" spans="1:10" s="142" customFormat="1" ht="11.25">
      <c r="A202" s="148"/>
      <c r="B202" s="148"/>
      <c r="C202" s="148"/>
      <c r="D202" s="148"/>
      <c r="E202" s="148"/>
      <c r="F202" s="148"/>
      <c r="G202" s="148"/>
      <c r="H202" s="148"/>
      <c r="I202" s="148"/>
      <c r="J202" s="148"/>
    </row>
    <row r="203" spans="1:10" s="142" customFormat="1" ht="11.25">
      <c r="A203" s="148"/>
      <c r="B203" s="148"/>
      <c r="C203" s="148"/>
      <c r="D203" s="148"/>
      <c r="E203" s="148"/>
      <c r="F203" s="148"/>
      <c r="G203" s="148"/>
      <c r="H203" s="148"/>
      <c r="I203" s="148"/>
      <c r="J203" s="148"/>
    </row>
    <row r="204" spans="1:10" s="142" customFormat="1" ht="11.25">
      <c r="A204" s="148"/>
      <c r="B204" s="148"/>
      <c r="C204" s="148"/>
      <c r="D204" s="148"/>
      <c r="E204" s="148"/>
      <c r="F204" s="148"/>
      <c r="G204" s="148"/>
      <c r="H204" s="148"/>
      <c r="I204" s="148"/>
      <c r="J204" s="148"/>
    </row>
    <row r="205" spans="1:10" s="142" customFormat="1" ht="11.25">
      <c r="A205" s="148"/>
      <c r="B205" s="148"/>
      <c r="C205" s="148"/>
      <c r="D205" s="148"/>
      <c r="E205" s="148"/>
      <c r="F205" s="148"/>
      <c r="G205" s="148"/>
      <c r="H205" s="148"/>
      <c r="I205" s="148"/>
      <c r="J205" s="148"/>
    </row>
    <row r="206" spans="1:10" s="142" customFormat="1" ht="11.25">
      <c r="A206" s="148"/>
      <c r="B206" s="148"/>
      <c r="C206" s="148"/>
      <c r="D206" s="148"/>
      <c r="E206" s="148"/>
      <c r="F206" s="148"/>
      <c r="G206" s="148"/>
      <c r="H206" s="148"/>
      <c r="I206" s="148"/>
      <c r="J206" s="148"/>
    </row>
    <row r="207" spans="1:10" s="142" customFormat="1" ht="11.25">
      <c r="A207" s="148"/>
      <c r="B207" s="148"/>
      <c r="C207" s="148"/>
      <c r="D207" s="148"/>
      <c r="E207" s="148"/>
      <c r="F207" s="148"/>
      <c r="G207" s="148"/>
      <c r="H207" s="148"/>
      <c r="I207" s="148"/>
      <c r="J207" s="148"/>
    </row>
    <row r="208" spans="1:10" s="142" customFormat="1" ht="11.25">
      <c r="A208" s="148"/>
      <c r="B208" s="148"/>
      <c r="C208" s="148"/>
      <c r="D208" s="148"/>
      <c r="E208" s="148"/>
      <c r="F208" s="148"/>
      <c r="G208" s="148"/>
      <c r="H208" s="148"/>
      <c r="I208" s="148"/>
      <c r="J208" s="148"/>
    </row>
    <row r="209" spans="1:10" s="142" customFormat="1" ht="11.25">
      <c r="A209" s="148"/>
      <c r="B209" s="148"/>
      <c r="C209" s="148"/>
      <c r="D209" s="148"/>
      <c r="E209" s="148"/>
      <c r="F209" s="148"/>
      <c r="G209" s="148"/>
      <c r="H209" s="148"/>
      <c r="I209" s="148"/>
      <c r="J209" s="148"/>
    </row>
    <row r="210" spans="1:10" s="142" customFormat="1" ht="11.25">
      <c r="A210" s="148"/>
      <c r="B210" s="148"/>
      <c r="C210" s="148"/>
      <c r="D210" s="148"/>
      <c r="E210" s="148"/>
      <c r="F210" s="148"/>
      <c r="G210" s="148"/>
      <c r="H210" s="148"/>
      <c r="I210" s="148"/>
      <c r="J210" s="148"/>
    </row>
    <row r="211" spans="1:10" s="142" customFormat="1" ht="11.25">
      <c r="A211" s="148"/>
      <c r="B211" s="148"/>
      <c r="C211" s="148"/>
      <c r="D211" s="148"/>
      <c r="E211" s="148"/>
      <c r="F211" s="148"/>
      <c r="G211" s="148"/>
      <c r="H211" s="148"/>
      <c r="I211" s="148"/>
      <c r="J211" s="148"/>
    </row>
    <row r="212" spans="1:10" s="142" customFormat="1" ht="11.25">
      <c r="A212" s="148"/>
      <c r="B212" s="148"/>
      <c r="C212" s="148"/>
      <c r="D212" s="148"/>
      <c r="E212" s="148"/>
      <c r="F212" s="148"/>
      <c r="G212" s="148"/>
      <c r="H212" s="148"/>
      <c r="I212" s="148"/>
      <c r="J212" s="148"/>
    </row>
    <row r="213" spans="1:10" s="142" customFormat="1" ht="11.25">
      <c r="A213" s="148"/>
      <c r="B213" s="148"/>
      <c r="C213" s="148"/>
      <c r="D213" s="148"/>
      <c r="E213" s="148"/>
      <c r="F213" s="148"/>
      <c r="G213" s="148"/>
      <c r="H213" s="148"/>
      <c r="I213" s="148"/>
      <c r="J213" s="148"/>
    </row>
    <row r="214" spans="1:10" s="142" customFormat="1" ht="11.25">
      <c r="A214" s="148"/>
      <c r="B214" s="148"/>
      <c r="C214" s="148"/>
      <c r="D214" s="148"/>
      <c r="E214" s="148"/>
      <c r="F214" s="148"/>
      <c r="G214" s="148"/>
      <c r="H214" s="148"/>
      <c r="I214" s="148"/>
      <c r="J214" s="148"/>
    </row>
    <row r="215" spans="1:10" s="142" customFormat="1" ht="11.25">
      <c r="A215" s="148"/>
      <c r="B215" s="148"/>
      <c r="C215" s="148"/>
      <c r="D215" s="148"/>
      <c r="E215" s="148"/>
      <c r="F215" s="148"/>
      <c r="G215" s="148"/>
      <c r="H215" s="148"/>
      <c r="I215" s="148"/>
      <c r="J215" s="148"/>
    </row>
    <row r="216" spans="1:10" s="142" customFormat="1" ht="11.25">
      <c r="A216" s="148"/>
      <c r="B216" s="148"/>
      <c r="C216" s="148"/>
      <c r="D216" s="148"/>
      <c r="E216" s="148"/>
      <c r="F216" s="148"/>
      <c r="G216" s="148"/>
      <c r="H216" s="148"/>
      <c r="I216" s="148"/>
      <c r="J216" s="148"/>
    </row>
    <row r="217" spans="1:10" s="142" customFormat="1" ht="11.25">
      <c r="A217" s="148"/>
      <c r="B217" s="148"/>
      <c r="C217" s="148"/>
      <c r="D217" s="148"/>
      <c r="E217" s="148"/>
      <c r="F217" s="148"/>
      <c r="G217" s="148"/>
      <c r="H217" s="148"/>
      <c r="I217" s="148"/>
      <c r="J217" s="148"/>
    </row>
    <row r="218" spans="1:10" s="142" customFormat="1" ht="11.25">
      <c r="A218" s="148"/>
      <c r="B218" s="148"/>
      <c r="C218" s="148"/>
      <c r="D218" s="148"/>
      <c r="E218" s="148"/>
      <c r="F218" s="148"/>
      <c r="G218" s="148"/>
      <c r="H218" s="148"/>
      <c r="I218" s="148"/>
      <c r="J218" s="148"/>
    </row>
    <row r="219" spans="1:10" s="142" customFormat="1" ht="11.25">
      <c r="A219" s="148"/>
      <c r="B219" s="148"/>
      <c r="C219" s="148"/>
      <c r="D219" s="148"/>
      <c r="E219" s="148"/>
      <c r="F219" s="148"/>
      <c r="G219" s="148"/>
      <c r="H219" s="148"/>
      <c r="I219" s="148"/>
      <c r="J219" s="148"/>
    </row>
    <row r="220" spans="1:10" s="142" customFormat="1" ht="11.25">
      <c r="A220" s="148"/>
      <c r="B220" s="148"/>
      <c r="C220" s="148"/>
      <c r="D220" s="148"/>
      <c r="E220" s="148"/>
      <c r="F220" s="148"/>
      <c r="G220" s="148"/>
      <c r="H220" s="148"/>
      <c r="I220" s="148"/>
      <c r="J220" s="148"/>
    </row>
    <row r="221" spans="1:10" s="142" customFormat="1" ht="11.25">
      <c r="A221" s="148"/>
      <c r="B221" s="148"/>
      <c r="C221" s="148"/>
      <c r="D221" s="148"/>
      <c r="E221" s="148"/>
      <c r="F221" s="148"/>
      <c r="G221" s="148"/>
      <c r="H221" s="148"/>
      <c r="I221" s="148"/>
      <c r="J221" s="148"/>
    </row>
    <row r="222" spans="1:10" s="142" customFormat="1" ht="11.25">
      <c r="A222" s="148"/>
      <c r="B222" s="148"/>
      <c r="C222" s="148"/>
      <c r="D222" s="148"/>
      <c r="E222" s="148"/>
      <c r="F222" s="148"/>
      <c r="G222" s="148"/>
      <c r="H222" s="148"/>
      <c r="I222" s="148"/>
      <c r="J222" s="148"/>
    </row>
    <row r="223" spans="1:10" s="142" customFormat="1" ht="11.25">
      <c r="A223" s="148"/>
      <c r="B223" s="148"/>
      <c r="C223" s="148"/>
      <c r="D223" s="148"/>
      <c r="E223" s="148"/>
      <c r="F223" s="148"/>
      <c r="G223" s="148"/>
      <c r="H223" s="148"/>
      <c r="I223" s="148"/>
      <c r="J223" s="148"/>
    </row>
    <row r="224" spans="1:10" s="142" customFormat="1" ht="11.25">
      <c r="A224" s="148"/>
      <c r="B224" s="148"/>
      <c r="C224" s="148"/>
      <c r="D224" s="148"/>
      <c r="E224" s="148"/>
      <c r="F224" s="148"/>
      <c r="G224" s="148"/>
      <c r="H224" s="148"/>
      <c r="I224" s="148"/>
      <c r="J224" s="148"/>
    </row>
    <row r="225" spans="1:10" s="143" customFormat="1" ht="12.75">
      <c r="A225" s="149"/>
      <c r="B225" s="149"/>
      <c r="C225" s="149"/>
      <c r="D225" s="149"/>
      <c r="E225" s="149"/>
      <c r="F225" s="149"/>
      <c r="G225" s="149"/>
      <c r="H225" s="149"/>
      <c r="I225" s="149"/>
      <c r="J225" s="149"/>
    </row>
    <row r="226" spans="1:10" s="143" customFormat="1" ht="12.75">
      <c r="A226" s="149"/>
      <c r="B226" s="149"/>
      <c r="C226" s="149"/>
      <c r="D226" s="149"/>
      <c r="E226" s="149"/>
      <c r="F226" s="149"/>
      <c r="G226" s="149"/>
      <c r="H226" s="149"/>
      <c r="I226" s="149"/>
      <c r="J226" s="149"/>
    </row>
    <row r="227" spans="1:10" s="143" customFormat="1" ht="12.75">
      <c r="A227" s="149"/>
      <c r="B227" s="149"/>
      <c r="C227" s="149"/>
      <c r="D227" s="149"/>
      <c r="E227" s="149"/>
      <c r="F227" s="149"/>
      <c r="G227" s="149"/>
      <c r="H227" s="149"/>
      <c r="I227" s="149"/>
      <c r="J227" s="149"/>
    </row>
    <row r="228" spans="1:10" s="143" customFormat="1" ht="12.75">
      <c r="A228" s="149"/>
      <c r="B228" s="149"/>
      <c r="C228" s="149"/>
      <c r="D228" s="149"/>
      <c r="E228" s="149"/>
      <c r="F228" s="149"/>
      <c r="G228" s="149"/>
      <c r="H228" s="149"/>
      <c r="I228" s="149"/>
      <c r="J228" s="149"/>
    </row>
    <row r="229" spans="1:10" s="143" customFormat="1" ht="12.75">
      <c r="A229" s="149"/>
      <c r="B229" s="149"/>
      <c r="C229" s="149"/>
      <c r="D229" s="149"/>
      <c r="E229" s="149"/>
      <c r="F229" s="149"/>
      <c r="G229" s="149"/>
      <c r="H229" s="149"/>
      <c r="I229" s="149"/>
      <c r="J229" s="149"/>
    </row>
    <row r="230" spans="1:10" s="143" customFormat="1" ht="12.75">
      <c r="A230" s="149"/>
      <c r="B230" s="149"/>
      <c r="C230" s="149"/>
      <c r="D230" s="149"/>
      <c r="E230" s="149"/>
      <c r="F230" s="149"/>
      <c r="G230" s="149"/>
      <c r="H230" s="149"/>
      <c r="I230" s="149"/>
      <c r="J230" s="149"/>
    </row>
    <row r="231" spans="1:10" s="143" customFormat="1" ht="12.75">
      <c r="A231" s="149"/>
      <c r="B231" s="149"/>
      <c r="C231" s="149"/>
      <c r="D231" s="149"/>
      <c r="E231" s="149"/>
      <c r="F231" s="149"/>
      <c r="G231" s="149"/>
      <c r="H231" s="149"/>
      <c r="I231" s="149"/>
      <c r="J231" s="149"/>
    </row>
    <row r="232" spans="1:10" s="143" customFormat="1" ht="12.75">
      <c r="A232" s="149"/>
      <c r="B232" s="149"/>
      <c r="C232" s="149"/>
      <c r="D232" s="149"/>
      <c r="E232" s="149"/>
      <c r="F232" s="149"/>
      <c r="G232" s="149"/>
      <c r="H232" s="149"/>
      <c r="I232" s="149"/>
      <c r="J232" s="149"/>
    </row>
    <row r="233" spans="1:10" s="143" customFormat="1" ht="12.75">
      <c r="A233" s="149"/>
      <c r="B233" s="149"/>
      <c r="C233" s="149"/>
      <c r="D233" s="149"/>
      <c r="E233" s="149"/>
      <c r="F233" s="149"/>
      <c r="G233" s="149"/>
      <c r="H233" s="149"/>
      <c r="I233" s="149"/>
      <c r="J233" s="149"/>
    </row>
    <row r="234" spans="1:10" s="143" customFormat="1" ht="12.75">
      <c r="A234" s="149"/>
      <c r="B234" s="149"/>
      <c r="C234" s="149"/>
      <c r="D234" s="149"/>
      <c r="E234" s="149"/>
      <c r="F234" s="149"/>
      <c r="G234" s="149"/>
      <c r="H234" s="149"/>
      <c r="I234" s="149"/>
      <c r="J234" s="149"/>
    </row>
    <row r="235" spans="1:10" s="143" customFormat="1" ht="12.75">
      <c r="A235" s="149"/>
      <c r="B235" s="149"/>
      <c r="C235" s="149"/>
      <c r="D235" s="149"/>
      <c r="E235" s="149"/>
      <c r="F235" s="149"/>
      <c r="G235" s="149"/>
      <c r="H235" s="149"/>
      <c r="I235" s="149"/>
      <c r="J235" s="149"/>
    </row>
    <row r="236" spans="1:10" s="143" customFormat="1" ht="12.75">
      <c r="A236" s="149"/>
      <c r="B236" s="149"/>
      <c r="C236" s="149"/>
      <c r="D236" s="149"/>
      <c r="E236" s="149"/>
      <c r="F236" s="149"/>
      <c r="G236" s="149"/>
      <c r="H236" s="149"/>
      <c r="I236" s="149"/>
      <c r="J236" s="149"/>
    </row>
    <row r="237" spans="1:10" s="143" customFormat="1" ht="12.75">
      <c r="A237" s="149"/>
      <c r="B237" s="149"/>
      <c r="C237" s="149"/>
      <c r="D237" s="149"/>
      <c r="E237" s="149"/>
      <c r="F237" s="149"/>
      <c r="G237" s="149"/>
      <c r="H237" s="149"/>
      <c r="I237" s="149"/>
      <c r="J237" s="149"/>
    </row>
    <row r="238" spans="1:10" s="143" customFormat="1" ht="12.75">
      <c r="A238" s="149"/>
      <c r="B238" s="149"/>
      <c r="C238" s="149"/>
      <c r="D238" s="149"/>
      <c r="E238" s="149"/>
      <c r="F238" s="149"/>
      <c r="G238" s="149"/>
      <c r="H238" s="149"/>
      <c r="I238" s="149"/>
      <c r="J238" s="149"/>
    </row>
    <row r="239" spans="1:10" s="143" customFormat="1" ht="12.75">
      <c r="A239" s="149"/>
      <c r="B239" s="149"/>
      <c r="C239" s="149"/>
      <c r="D239" s="149"/>
      <c r="E239" s="149"/>
      <c r="F239" s="149"/>
      <c r="G239" s="149"/>
      <c r="H239" s="149"/>
      <c r="I239" s="149"/>
      <c r="J239" s="149"/>
    </row>
    <row r="240" spans="1:10" s="143" customFormat="1" ht="12.75">
      <c r="A240" s="149"/>
      <c r="B240" s="149"/>
      <c r="C240" s="149"/>
      <c r="D240" s="149"/>
      <c r="E240" s="149"/>
      <c r="F240" s="149"/>
      <c r="G240" s="149"/>
      <c r="H240" s="149"/>
      <c r="I240" s="149"/>
      <c r="J240" s="149"/>
    </row>
    <row r="241" spans="1:10" s="143" customFormat="1" ht="12.75">
      <c r="A241" s="149"/>
      <c r="B241" s="149"/>
      <c r="C241" s="149"/>
      <c r="D241" s="149"/>
      <c r="E241" s="149"/>
      <c r="F241" s="149"/>
      <c r="G241" s="149"/>
      <c r="H241" s="149"/>
      <c r="I241" s="149"/>
      <c r="J241" s="149"/>
    </row>
    <row r="242" spans="1:10" s="143" customFormat="1" ht="12.75">
      <c r="A242" s="149"/>
      <c r="B242" s="149"/>
      <c r="C242" s="149"/>
      <c r="D242" s="149"/>
      <c r="E242" s="149"/>
      <c r="F242" s="149"/>
      <c r="G242" s="149"/>
      <c r="H242" s="149"/>
      <c r="I242" s="149"/>
      <c r="J242" s="149"/>
    </row>
    <row r="243" spans="1:10" s="143" customFormat="1" ht="12.75">
      <c r="A243" s="149"/>
      <c r="B243" s="149"/>
      <c r="C243" s="149"/>
      <c r="D243" s="149"/>
      <c r="E243" s="149"/>
      <c r="F243" s="149"/>
      <c r="G243" s="149"/>
      <c r="H243" s="149"/>
      <c r="I243" s="149"/>
      <c r="J243" s="149"/>
    </row>
    <row r="244" spans="1:10" s="143" customFormat="1" ht="12.75">
      <c r="A244" s="149"/>
      <c r="B244" s="149"/>
      <c r="C244" s="149"/>
      <c r="D244" s="149"/>
      <c r="E244" s="149"/>
      <c r="F244" s="149"/>
      <c r="G244" s="149"/>
      <c r="H244" s="149"/>
      <c r="I244" s="149"/>
      <c r="J244" s="149"/>
    </row>
    <row r="245" spans="1:10" s="143" customFormat="1" ht="12.75">
      <c r="A245" s="149"/>
      <c r="B245" s="149"/>
      <c r="C245" s="149"/>
      <c r="D245" s="149"/>
      <c r="E245" s="149"/>
      <c r="F245" s="149"/>
      <c r="G245" s="149"/>
      <c r="H245" s="149"/>
      <c r="I245" s="149"/>
      <c r="J245" s="149"/>
    </row>
    <row r="246" spans="1:10" s="143" customFormat="1" ht="12.75">
      <c r="A246" s="149"/>
      <c r="B246" s="149"/>
      <c r="C246" s="149"/>
      <c r="D246" s="149"/>
      <c r="E246" s="149"/>
      <c r="F246" s="149"/>
      <c r="G246" s="149"/>
      <c r="H246" s="149"/>
      <c r="I246" s="149"/>
      <c r="J246" s="149"/>
    </row>
    <row r="247" spans="1:10" s="143" customFormat="1" ht="12.75">
      <c r="A247" s="149"/>
      <c r="B247" s="149"/>
      <c r="C247" s="149"/>
      <c r="D247" s="149"/>
      <c r="E247" s="149"/>
      <c r="F247" s="149"/>
      <c r="G247" s="149"/>
      <c r="H247" s="149"/>
      <c r="I247" s="149"/>
      <c r="J247" s="149"/>
    </row>
    <row r="248" spans="1:10" s="143" customFormat="1" ht="12.75">
      <c r="A248" s="149"/>
      <c r="B248" s="149"/>
      <c r="C248" s="149"/>
      <c r="D248" s="149"/>
      <c r="E248" s="149"/>
      <c r="F248" s="149"/>
      <c r="G248" s="149"/>
      <c r="H248" s="149"/>
      <c r="I248" s="149"/>
      <c r="J248" s="149"/>
    </row>
    <row r="249" spans="1:10" s="143" customFormat="1" ht="12.75">
      <c r="A249" s="149"/>
      <c r="B249" s="149"/>
      <c r="C249" s="149"/>
      <c r="D249" s="149"/>
      <c r="E249" s="149"/>
      <c r="F249" s="149"/>
      <c r="G249" s="149"/>
      <c r="H249" s="149"/>
      <c r="I249" s="149"/>
      <c r="J249" s="149"/>
    </row>
    <row r="250" spans="1:10" s="143" customFormat="1" ht="12.75">
      <c r="A250" s="149"/>
      <c r="B250" s="149"/>
      <c r="C250" s="149"/>
      <c r="D250" s="149"/>
      <c r="E250" s="149"/>
      <c r="F250" s="149"/>
      <c r="G250" s="149"/>
      <c r="H250" s="149"/>
      <c r="I250" s="149"/>
      <c r="J250" s="149"/>
    </row>
    <row r="251" spans="1:10" s="143" customFormat="1" ht="12.75">
      <c r="A251" s="149"/>
      <c r="B251" s="149"/>
      <c r="C251" s="149"/>
      <c r="D251" s="149"/>
      <c r="E251" s="149"/>
      <c r="F251" s="149"/>
      <c r="G251" s="149"/>
      <c r="H251" s="149"/>
      <c r="I251" s="149"/>
      <c r="J251" s="149"/>
    </row>
    <row r="252" spans="1:10" s="143" customFormat="1" ht="12.75">
      <c r="A252" s="149"/>
      <c r="B252" s="149"/>
      <c r="C252" s="149"/>
      <c r="D252" s="149"/>
      <c r="E252" s="149"/>
      <c r="F252" s="149"/>
      <c r="G252" s="149"/>
      <c r="H252" s="149"/>
      <c r="I252" s="149"/>
      <c r="J252" s="149"/>
    </row>
    <row r="253" spans="1:10" s="143" customFormat="1" ht="12.75">
      <c r="A253" s="149"/>
      <c r="B253" s="149"/>
      <c r="C253" s="149"/>
      <c r="D253" s="149"/>
      <c r="E253" s="149"/>
      <c r="F253" s="149"/>
      <c r="G253" s="149"/>
      <c r="H253" s="149"/>
      <c r="I253" s="149"/>
      <c r="J253" s="149"/>
    </row>
    <row r="254" spans="1:10" s="143" customFormat="1" ht="12.75">
      <c r="A254" s="149"/>
      <c r="B254" s="149"/>
      <c r="C254" s="149"/>
      <c r="D254" s="149"/>
      <c r="E254" s="149"/>
      <c r="F254" s="149"/>
      <c r="G254" s="149"/>
      <c r="H254" s="149"/>
      <c r="I254" s="149"/>
      <c r="J254" s="149"/>
    </row>
    <row r="255" spans="1:10" s="143" customFormat="1" ht="12.75">
      <c r="A255" s="149"/>
      <c r="B255" s="149"/>
      <c r="C255" s="149"/>
      <c r="D255" s="149"/>
      <c r="E255" s="149"/>
      <c r="F255" s="149"/>
      <c r="G255" s="149"/>
      <c r="H255" s="149"/>
      <c r="I255" s="149"/>
      <c r="J255" s="149"/>
    </row>
    <row r="256" spans="1:10" s="143" customFormat="1" ht="12.75">
      <c r="A256" s="149"/>
      <c r="B256" s="149"/>
      <c r="C256" s="149"/>
      <c r="D256" s="149"/>
      <c r="E256" s="149"/>
      <c r="F256" s="149"/>
      <c r="G256" s="149"/>
      <c r="H256" s="149"/>
      <c r="I256" s="149"/>
      <c r="J256" s="149"/>
    </row>
    <row r="257" spans="1:10" s="143" customFormat="1" ht="12.75">
      <c r="A257" s="149"/>
      <c r="B257" s="149"/>
      <c r="C257" s="149"/>
      <c r="D257" s="149"/>
      <c r="E257" s="149"/>
      <c r="F257" s="149"/>
      <c r="G257" s="149"/>
      <c r="H257" s="149"/>
      <c r="I257" s="149"/>
      <c r="J257" s="149"/>
    </row>
    <row r="258" spans="1:10" s="143" customFormat="1" ht="12.75">
      <c r="A258" s="149"/>
      <c r="B258" s="149"/>
      <c r="C258" s="149"/>
      <c r="D258" s="149"/>
      <c r="E258" s="149"/>
      <c r="F258" s="149"/>
      <c r="G258" s="149"/>
      <c r="H258" s="149"/>
      <c r="I258" s="149"/>
      <c r="J258" s="149"/>
    </row>
    <row r="259" spans="1:10" s="143" customFormat="1" ht="12.75">
      <c r="A259" s="149"/>
      <c r="B259" s="149"/>
      <c r="C259" s="149"/>
      <c r="D259" s="149"/>
      <c r="E259" s="149"/>
      <c r="F259" s="149"/>
      <c r="G259" s="149"/>
      <c r="H259" s="149"/>
      <c r="I259" s="149"/>
      <c r="J259" s="149"/>
    </row>
    <row r="260" spans="1:10" s="143" customFormat="1" ht="12.75">
      <c r="A260" s="149"/>
      <c r="B260" s="149"/>
      <c r="C260" s="149"/>
      <c r="D260" s="149"/>
      <c r="E260" s="149"/>
      <c r="F260" s="149"/>
      <c r="G260" s="149"/>
      <c r="H260" s="149"/>
      <c r="I260" s="149"/>
      <c r="J260" s="149"/>
    </row>
    <row r="261" spans="1:10" s="143" customFormat="1" ht="12.75">
      <c r="A261" s="149"/>
      <c r="B261" s="149"/>
      <c r="C261" s="149"/>
      <c r="D261" s="149"/>
      <c r="E261" s="149"/>
      <c r="F261" s="149"/>
      <c r="G261" s="149"/>
      <c r="H261" s="149"/>
      <c r="I261" s="149"/>
      <c r="J261" s="149"/>
    </row>
    <row r="262" spans="1:10" s="143" customFormat="1" ht="12.75">
      <c r="A262" s="149"/>
      <c r="B262" s="149"/>
      <c r="C262" s="149"/>
      <c r="D262" s="149"/>
      <c r="E262" s="149"/>
      <c r="F262" s="149"/>
      <c r="G262" s="149"/>
      <c r="H262" s="149"/>
      <c r="I262" s="149"/>
      <c r="J262" s="149"/>
    </row>
    <row r="263" spans="1:10" s="143" customFormat="1" ht="12.75">
      <c r="A263" s="149"/>
      <c r="B263" s="149"/>
      <c r="C263" s="149"/>
      <c r="D263" s="149"/>
      <c r="E263" s="149"/>
      <c r="F263" s="149"/>
      <c r="G263" s="149"/>
      <c r="H263" s="149"/>
      <c r="I263" s="149"/>
      <c r="J263" s="149"/>
    </row>
    <row r="264" spans="1:10" s="143" customFormat="1" ht="12.75">
      <c r="A264" s="149"/>
      <c r="B264" s="149"/>
      <c r="C264" s="149"/>
      <c r="D264" s="149"/>
      <c r="E264" s="149"/>
      <c r="F264" s="149"/>
      <c r="G264" s="149"/>
      <c r="H264" s="149"/>
      <c r="I264" s="149"/>
      <c r="J264" s="149"/>
    </row>
    <row r="265" spans="1:10" s="143" customFormat="1" ht="12.75">
      <c r="A265" s="149"/>
      <c r="B265" s="149"/>
      <c r="C265" s="149"/>
      <c r="D265" s="149"/>
      <c r="E265" s="149"/>
      <c r="F265" s="149"/>
      <c r="G265" s="149"/>
      <c r="H265" s="149"/>
      <c r="I265" s="149"/>
      <c r="J265" s="149"/>
    </row>
    <row r="266" spans="1:10" ht="12.75">
      <c r="A266" s="150"/>
      <c r="B266" s="150"/>
      <c r="C266" s="150"/>
      <c r="D266" s="150"/>
      <c r="E266" s="150"/>
      <c r="F266" s="150"/>
      <c r="G266" s="150"/>
      <c r="H266" s="150"/>
      <c r="I266" s="150"/>
      <c r="J266" s="150"/>
    </row>
    <row r="267" spans="1:10" ht="12.75">
      <c r="A267" s="150"/>
      <c r="B267" s="150"/>
      <c r="C267" s="150"/>
      <c r="D267" s="150"/>
      <c r="E267" s="150"/>
      <c r="F267" s="150"/>
      <c r="G267" s="150"/>
      <c r="H267" s="150"/>
      <c r="I267" s="150"/>
      <c r="J267" s="150"/>
    </row>
    <row r="268" spans="1:10" ht="12.75">
      <c r="A268" s="150"/>
      <c r="B268" s="150"/>
      <c r="C268" s="150"/>
      <c r="D268" s="150"/>
      <c r="E268" s="150"/>
      <c r="F268" s="150"/>
      <c r="G268" s="150"/>
      <c r="H268" s="150"/>
      <c r="I268" s="150"/>
      <c r="J268" s="150"/>
    </row>
    <row r="269" spans="1:10" ht="12.75">
      <c r="A269" s="150"/>
      <c r="B269" s="150"/>
      <c r="C269" s="150"/>
      <c r="D269" s="150"/>
      <c r="E269" s="150"/>
      <c r="F269" s="150"/>
      <c r="G269" s="150"/>
      <c r="H269" s="150"/>
      <c r="I269" s="150"/>
      <c r="J269" s="150"/>
    </row>
    <row r="270" spans="1:10" ht="12.75">
      <c r="A270" s="150"/>
      <c r="B270" s="150"/>
      <c r="C270" s="150"/>
      <c r="D270" s="150"/>
      <c r="E270" s="150"/>
      <c r="F270" s="150"/>
      <c r="G270" s="150"/>
      <c r="H270" s="150"/>
      <c r="I270" s="150"/>
      <c r="J270" s="150"/>
    </row>
    <row r="271" spans="1:10" ht="12.75">
      <c r="A271" s="150"/>
      <c r="B271" s="150"/>
      <c r="C271" s="150"/>
      <c r="D271" s="150"/>
      <c r="E271" s="150"/>
      <c r="F271" s="150"/>
      <c r="G271" s="150"/>
      <c r="H271" s="150"/>
      <c r="I271" s="150"/>
      <c r="J271" s="150"/>
    </row>
    <row r="272" spans="1:10" ht="12.75">
      <c r="A272" s="150"/>
      <c r="B272" s="150"/>
      <c r="C272" s="150"/>
      <c r="D272" s="150"/>
      <c r="E272" s="150"/>
      <c r="F272" s="150"/>
      <c r="G272" s="150"/>
      <c r="H272" s="150"/>
      <c r="I272" s="150"/>
      <c r="J272" s="150"/>
    </row>
    <row r="273" spans="1:10" ht="12.75">
      <c r="A273" s="150"/>
      <c r="B273" s="150"/>
      <c r="C273" s="150"/>
      <c r="D273" s="150"/>
      <c r="E273" s="150"/>
      <c r="F273" s="150"/>
      <c r="G273" s="150"/>
      <c r="H273" s="150"/>
      <c r="I273" s="150"/>
      <c r="J273" s="150"/>
    </row>
    <row r="274" spans="1:10" ht="12.75">
      <c r="A274" s="150"/>
      <c r="B274" s="150"/>
      <c r="C274" s="150"/>
      <c r="D274" s="150"/>
      <c r="E274" s="150"/>
      <c r="F274" s="150"/>
      <c r="G274" s="150"/>
      <c r="H274" s="150"/>
      <c r="I274" s="150"/>
      <c r="J274" s="150"/>
    </row>
    <row r="275" spans="1:10" ht="12.75">
      <c r="A275" s="150"/>
      <c r="B275" s="150"/>
      <c r="C275" s="150"/>
      <c r="D275" s="150"/>
      <c r="E275" s="150"/>
      <c r="F275" s="150"/>
      <c r="G275" s="150"/>
      <c r="H275" s="150"/>
      <c r="I275" s="150"/>
      <c r="J275" s="150"/>
    </row>
    <row r="276" spans="1:10" ht="12.75">
      <c r="A276" s="150"/>
      <c r="B276" s="150"/>
      <c r="C276" s="150"/>
      <c r="D276" s="150"/>
      <c r="E276" s="150"/>
      <c r="F276" s="150"/>
      <c r="G276" s="150"/>
      <c r="H276" s="150"/>
      <c r="I276" s="150"/>
      <c r="J276" s="150"/>
    </row>
    <row r="277" spans="1:10" ht="12.75">
      <c r="A277" s="150"/>
      <c r="B277" s="150"/>
      <c r="C277" s="150"/>
      <c r="D277" s="150"/>
      <c r="E277" s="150"/>
      <c r="F277" s="150"/>
      <c r="G277" s="150"/>
      <c r="H277" s="150"/>
      <c r="I277" s="150"/>
      <c r="J277" s="150"/>
    </row>
    <row r="278" spans="1:10" ht="12.75">
      <c r="A278" s="150"/>
      <c r="B278" s="150"/>
      <c r="C278" s="150"/>
      <c r="D278" s="150"/>
      <c r="E278" s="150"/>
      <c r="F278" s="150"/>
      <c r="G278" s="150"/>
      <c r="H278" s="150"/>
      <c r="I278" s="150"/>
      <c r="J278" s="150"/>
    </row>
    <row r="279" spans="1:10" ht="12.75">
      <c r="A279" s="150"/>
      <c r="B279" s="150"/>
      <c r="C279" s="150"/>
      <c r="D279" s="150"/>
      <c r="E279" s="150"/>
      <c r="F279" s="150"/>
      <c r="G279" s="150"/>
      <c r="H279" s="150"/>
      <c r="I279" s="150"/>
      <c r="J279" s="150"/>
    </row>
    <row r="280" spans="1:10" ht="12.75">
      <c r="A280" s="150"/>
      <c r="B280" s="150"/>
      <c r="C280" s="150"/>
      <c r="D280" s="150"/>
      <c r="E280" s="150"/>
      <c r="F280" s="150"/>
      <c r="G280" s="150"/>
      <c r="H280" s="150"/>
      <c r="I280" s="150"/>
      <c r="J280" s="150"/>
    </row>
    <row r="281" spans="1:10" ht="12.75">
      <c r="A281" s="150"/>
      <c r="B281" s="150"/>
      <c r="C281" s="150"/>
      <c r="D281" s="150"/>
      <c r="E281" s="150"/>
      <c r="F281" s="150"/>
      <c r="G281" s="150"/>
      <c r="H281" s="150"/>
      <c r="I281" s="150"/>
      <c r="J281" s="150"/>
    </row>
    <row r="282" spans="1:10" ht="12.75">
      <c r="A282" s="150"/>
      <c r="B282" s="150"/>
      <c r="C282" s="150"/>
      <c r="D282" s="150"/>
      <c r="E282" s="150"/>
      <c r="F282" s="150"/>
      <c r="G282" s="150"/>
      <c r="H282" s="150"/>
      <c r="I282" s="150"/>
      <c r="J282" s="150"/>
    </row>
    <row r="283" spans="1:10" ht="12.75">
      <c r="A283" s="150"/>
      <c r="B283" s="150"/>
      <c r="C283" s="150"/>
      <c r="D283" s="150"/>
      <c r="E283" s="150"/>
      <c r="F283" s="150"/>
      <c r="G283" s="150"/>
      <c r="H283" s="150"/>
      <c r="I283" s="150"/>
      <c r="J283" s="150"/>
    </row>
    <row r="284" spans="1:10" ht="12.75">
      <c r="A284" s="150"/>
      <c r="B284" s="150"/>
      <c r="C284" s="150"/>
      <c r="D284" s="150"/>
      <c r="E284" s="150"/>
      <c r="F284" s="150"/>
      <c r="G284" s="150"/>
      <c r="H284" s="150"/>
      <c r="I284" s="150"/>
      <c r="J284" s="150"/>
    </row>
    <row r="285" spans="1:10" ht="12.75">
      <c r="A285" s="150"/>
      <c r="B285" s="150"/>
      <c r="C285" s="150"/>
      <c r="D285" s="150"/>
      <c r="E285" s="150"/>
      <c r="F285" s="150"/>
      <c r="G285" s="150"/>
      <c r="H285" s="150"/>
      <c r="I285" s="150"/>
      <c r="J285" s="150"/>
    </row>
    <row r="286" spans="1:10" ht="12.75">
      <c r="A286" s="150"/>
      <c r="B286" s="150"/>
      <c r="C286" s="150"/>
      <c r="D286" s="150"/>
      <c r="E286" s="150"/>
      <c r="F286" s="150"/>
      <c r="G286" s="150"/>
      <c r="H286" s="150"/>
      <c r="I286" s="150"/>
      <c r="J286" s="150"/>
    </row>
    <row r="287" spans="1:10" ht="12.75">
      <c r="A287" s="150"/>
      <c r="B287" s="150"/>
      <c r="C287" s="150"/>
      <c r="D287" s="150"/>
      <c r="E287" s="150"/>
      <c r="F287" s="150"/>
      <c r="G287" s="150"/>
      <c r="H287" s="150"/>
      <c r="I287" s="150"/>
      <c r="J287" s="150"/>
    </row>
    <row r="288" spans="1:10" ht="12.75">
      <c r="A288" s="150"/>
      <c r="B288" s="150"/>
      <c r="C288" s="150"/>
      <c r="D288" s="150"/>
      <c r="E288" s="150"/>
      <c r="F288" s="150"/>
      <c r="G288" s="150"/>
      <c r="H288" s="150"/>
      <c r="I288" s="150"/>
      <c r="J288" s="150"/>
    </row>
    <row r="289" spans="1:10" ht="12.75">
      <c r="A289" s="150"/>
      <c r="B289" s="150"/>
      <c r="C289" s="150"/>
      <c r="D289" s="150"/>
      <c r="E289" s="150"/>
      <c r="F289" s="150"/>
      <c r="G289" s="150"/>
      <c r="H289" s="150"/>
      <c r="I289" s="150"/>
      <c r="J289" s="150"/>
    </row>
    <row r="290" spans="1:10" ht="12.75">
      <c r="A290" s="150"/>
      <c r="B290" s="150"/>
      <c r="C290" s="150"/>
      <c r="D290" s="150"/>
      <c r="E290" s="150"/>
      <c r="F290" s="150"/>
      <c r="G290" s="150"/>
      <c r="H290" s="150"/>
      <c r="I290" s="150"/>
      <c r="J290" s="150"/>
    </row>
  </sheetData>
  <sheetProtection password="8D61" sheet="1" objects="1" scenarios="1"/>
  <printOptions horizontalCentered="1" verticalCentered="1"/>
  <pageMargins left="0.75" right="0.75" top="0.64" bottom="0.6" header="0.32" footer="0.29"/>
  <pageSetup horizontalDpi="300" verticalDpi="300" orientation="landscape" r:id="rId2"/>
  <headerFooter alignWithMargins="0">
    <oddHeader>&amp;C&amp;"Geneva,Bold"&amp;16WJ III ™   Achievement Profile</oddHeader>
    <oddFooter>&amp;L&amp;8Woodcock-Johnson III by Richard W. Woodcock, Kevin S. McGrew, and Nancy Mather © Riverside Publishing, 2001.
All rights Reserved&amp;R&amp;8Page  &amp;P   
©Template created by Ron Dumont and John Willis</oddFooter>
  </headerFooter>
  <drawing r:id="rId1"/>
</worksheet>
</file>

<file path=xl/worksheets/sheet11.xml><?xml version="1.0" encoding="utf-8"?>
<worksheet xmlns="http://schemas.openxmlformats.org/spreadsheetml/2006/main" xmlns:r="http://schemas.openxmlformats.org/officeDocument/2006/relationships">
  <sheetPr>
    <tabColor indexed="25"/>
  </sheetPr>
  <dimension ref="A6:V81"/>
  <sheetViews>
    <sheetView showGridLines="0" zoomScalePageLayoutView="0" workbookViewId="0" topLeftCell="A31">
      <selection activeCell="Q55" sqref="Q55"/>
    </sheetView>
  </sheetViews>
  <sheetFormatPr defaultColWidth="8.75390625" defaultRowHeight="12.75"/>
  <cols>
    <col min="1" max="1" width="0.6171875" style="0" customWidth="1"/>
    <col min="2" max="2" width="7.25390625" style="0" customWidth="1"/>
    <col min="3" max="3" width="9.625" style="0" customWidth="1"/>
    <col min="4" max="4" width="10.625" style="0" customWidth="1"/>
    <col min="5" max="5" width="8.75390625" style="0" customWidth="1"/>
    <col min="6" max="6" width="13.375" style="0" customWidth="1"/>
    <col min="7" max="7" width="39.375" style="0" customWidth="1"/>
    <col min="8" max="8" width="8.75390625" style="0" customWidth="1"/>
    <col min="9" max="11" width="3.00390625" style="0" bestFit="1" customWidth="1"/>
  </cols>
  <sheetData>
    <row r="6" spans="1:10" ht="12.75">
      <c r="A6" s="121"/>
      <c r="H6" s="121"/>
      <c r="I6" s="121"/>
      <c r="J6" s="121"/>
    </row>
    <row r="7" spans="1:10" ht="12.75">
      <c r="A7" s="121"/>
      <c r="H7" s="121"/>
      <c r="I7" s="121"/>
      <c r="J7" s="121"/>
    </row>
    <row r="8" spans="1:10" ht="12.75">
      <c r="A8" s="121"/>
      <c r="H8" s="121"/>
      <c r="I8" s="121"/>
      <c r="J8" s="121"/>
    </row>
    <row r="9" spans="1:10" ht="12.75">
      <c r="A9" s="121"/>
      <c r="H9" s="121"/>
      <c r="I9" s="121"/>
      <c r="J9" s="121"/>
    </row>
    <row r="10" spans="1:10" ht="12.75">
      <c r="A10" s="121"/>
      <c r="H10" s="121"/>
      <c r="I10" s="121"/>
      <c r="J10" s="121"/>
    </row>
    <row r="11" spans="1:10" ht="12.75">
      <c r="A11" s="121"/>
      <c r="H11" s="121"/>
      <c r="I11" s="121"/>
      <c r="J11" s="121"/>
    </row>
    <row r="12" spans="1:10" ht="12.75">
      <c r="A12" s="121"/>
      <c r="H12" s="121"/>
      <c r="I12" s="121"/>
      <c r="J12" s="121"/>
    </row>
    <row r="13" spans="1:10" ht="12.75">
      <c r="A13" s="121"/>
      <c r="H13" s="121"/>
      <c r="I13" s="121"/>
      <c r="J13" s="121"/>
    </row>
    <row r="14" spans="1:10" ht="12.75">
      <c r="A14" s="121"/>
      <c r="H14" s="121"/>
      <c r="I14" s="121"/>
      <c r="J14" s="121"/>
    </row>
    <row r="15" spans="1:10" ht="12.75">
      <c r="A15" s="121"/>
      <c r="H15" s="121"/>
      <c r="I15" s="121"/>
      <c r="J15" s="121"/>
    </row>
    <row r="16" spans="1:10" ht="12.75">
      <c r="A16" s="121"/>
      <c r="H16" s="121"/>
      <c r="I16" s="121"/>
      <c r="J16" s="121"/>
    </row>
    <row r="17" spans="1:10" ht="12.75">
      <c r="A17" s="121"/>
      <c r="H17" s="121"/>
      <c r="I17" s="121"/>
      <c r="J17" s="121"/>
    </row>
    <row r="18" spans="1:10" ht="12.75">
      <c r="A18" s="121"/>
      <c r="H18" s="121"/>
      <c r="I18" s="121"/>
      <c r="J18" s="121"/>
    </row>
    <row r="19" spans="1:10" ht="12.75">
      <c r="A19" s="121"/>
      <c r="H19" s="121"/>
      <c r="I19" s="121"/>
      <c r="J19" s="121"/>
    </row>
    <row r="20" spans="1:10" ht="12.75">
      <c r="A20" s="121"/>
      <c r="H20" s="121"/>
      <c r="I20" s="121"/>
      <c r="J20" s="121"/>
    </row>
    <row r="21" spans="1:10" ht="12.75">
      <c r="A21" s="121"/>
      <c r="H21" s="121"/>
      <c r="I21" s="121"/>
      <c r="J21" s="121"/>
    </row>
    <row r="22" spans="1:10" ht="12.75">
      <c r="A22" s="121"/>
      <c r="H22" s="121"/>
      <c r="I22" s="121"/>
      <c r="J22" s="121"/>
    </row>
    <row r="23" spans="1:10" ht="12.75">
      <c r="A23" s="121"/>
      <c r="H23" s="121"/>
      <c r="I23" s="121"/>
      <c r="J23" s="121"/>
    </row>
    <row r="24" spans="1:10" ht="12.75">
      <c r="A24" s="121"/>
      <c r="H24" s="121"/>
      <c r="I24" s="121"/>
      <c r="J24" s="121"/>
    </row>
    <row r="25" spans="1:10" ht="12.75">
      <c r="A25" s="121"/>
      <c r="H25" s="121"/>
      <c r="I25" s="121"/>
      <c r="J25" s="121"/>
    </row>
    <row r="26" spans="1:10" ht="12.75">
      <c r="A26" s="121"/>
      <c r="H26" s="121"/>
      <c r="I26" s="121"/>
      <c r="J26" s="121"/>
    </row>
    <row r="27" spans="1:10" ht="12.75">
      <c r="A27" s="121"/>
      <c r="H27" s="121"/>
      <c r="I27" s="121"/>
      <c r="J27" s="121"/>
    </row>
    <row r="28" spans="1:10" ht="12.75">
      <c r="A28" s="121"/>
      <c r="H28" s="121"/>
      <c r="I28" s="121"/>
      <c r="J28" s="121"/>
    </row>
    <row r="29" spans="1:10" ht="12.75">
      <c r="A29" s="121"/>
      <c r="H29" s="121"/>
      <c r="I29" s="121"/>
      <c r="J29" s="121"/>
    </row>
    <row r="30" spans="1:10" ht="12.75">
      <c r="A30" s="121"/>
      <c r="H30" s="121"/>
      <c r="I30" s="121"/>
      <c r="J30" s="121"/>
    </row>
    <row r="31" spans="1:10" ht="12.75">
      <c r="A31" s="121"/>
      <c r="H31" s="121"/>
      <c r="I31" s="121"/>
      <c r="J31" s="121"/>
    </row>
    <row r="32" spans="1:10" ht="12.75">
      <c r="A32" s="121"/>
      <c r="B32" s="121"/>
      <c r="C32" s="121"/>
      <c r="D32" s="121"/>
      <c r="E32" s="121"/>
      <c r="F32" s="121"/>
      <c r="G32" s="121"/>
      <c r="H32" s="121"/>
      <c r="I32" s="121"/>
      <c r="J32" s="121"/>
    </row>
    <row r="33" spans="2:7" ht="36.75" customHeight="1">
      <c r="B33" s="127" t="s">
        <v>285</v>
      </c>
      <c r="C33" s="114" t="s">
        <v>303</v>
      </c>
      <c r="D33" s="114" t="s">
        <v>305</v>
      </c>
      <c r="E33" s="114" t="s">
        <v>304</v>
      </c>
      <c r="F33" s="138" t="s">
        <v>339</v>
      </c>
      <c r="G33" s="138" t="s">
        <v>340</v>
      </c>
    </row>
    <row r="34" spans="2:7" ht="50.25" customHeight="1">
      <c r="B34" s="152" t="s">
        <v>286</v>
      </c>
      <c r="C34" s="153" t="s">
        <v>290</v>
      </c>
      <c r="D34" s="153" t="s">
        <v>290</v>
      </c>
      <c r="E34" s="153" t="s">
        <v>290</v>
      </c>
      <c r="F34" s="154">
        <f>O58</f>
      </c>
      <c r="G34" s="155">
        <f>O73</f>
      </c>
    </row>
    <row r="35" spans="2:7" ht="50.25" customHeight="1">
      <c r="B35" s="152" t="s">
        <v>287</v>
      </c>
      <c r="C35" s="153" t="s">
        <v>177</v>
      </c>
      <c r="D35" s="156" t="s">
        <v>296</v>
      </c>
      <c r="E35" s="156" t="s">
        <v>300</v>
      </c>
      <c r="F35" s="154">
        <f>O59</f>
      </c>
      <c r="G35" s="155">
        <f>O74</f>
      </c>
    </row>
    <row r="36" spans="2:7" ht="50.25" customHeight="1">
      <c r="B36" s="152" t="s">
        <v>288</v>
      </c>
      <c r="C36" s="153" t="s">
        <v>291</v>
      </c>
      <c r="D36" s="156" t="s">
        <v>299</v>
      </c>
      <c r="E36" s="156" t="s">
        <v>301</v>
      </c>
      <c r="F36" s="154">
        <f>O60</f>
      </c>
      <c r="G36" s="155">
        <f>O75</f>
      </c>
    </row>
    <row r="37" spans="2:7" ht="50.25" customHeight="1">
      <c r="B37" s="157" t="s">
        <v>306</v>
      </c>
      <c r="C37" s="153" t="s">
        <v>292</v>
      </c>
      <c r="D37" s="156" t="s">
        <v>298</v>
      </c>
      <c r="E37" s="156" t="s">
        <v>302</v>
      </c>
      <c r="F37" s="154">
        <f>O61</f>
      </c>
      <c r="G37" s="155">
        <f>O76</f>
      </c>
    </row>
    <row r="38" spans="2:7" ht="50.25" customHeight="1">
      <c r="B38" s="152" t="s">
        <v>289</v>
      </c>
      <c r="C38" s="153" t="s">
        <v>311</v>
      </c>
      <c r="D38" s="156" t="s">
        <v>297</v>
      </c>
      <c r="E38" s="156" t="s">
        <v>307</v>
      </c>
      <c r="F38" s="154" t="str">
        <f>O62</f>
        <v>Academic Knowledge Broad Reading Broad Math Broad Written Language Total Achievement Oral Language </v>
      </c>
      <c r="G38" s="155" t="str">
        <f>O77</f>
        <v>Math Reasoning Oral Expression Listening Comprehension Reading Comprehension Math Calculations Skills Written Expression Academic Fluency Academic Applications Basic Reading Skills Basic Writing Skills Phoneme/Grapheme Knowledge Academic Skills </v>
      </c>
    </row>
    <row r="41" spans="2:7" ht="12.75">
      <c r="B41" s="135"/>
      <c r="C41" s="135"/>
      <c r="D41" s="135"/>
      <c r="E41" s="135"/>
      <c r="F41" s="135"/>
      <c r="G41" s="135"/>
    </row>
    <row r="42" spans="2:7" ht="12.75">
      <c r="B42" s="135"/>
      <c r="C42" s="135"/>
      <c r="D42" s="135"/>
      <c r="E42" s="135"/>
      <c r="F42" s="135"/>
      <c r="G42" s="135"/>
    </row>
    <row r="43" spans="2:7" ht="12.75">
      <c r="B43" s="135"/>
      <c r="C43" s="135"/>
      <c r="D43" s="135"/>
      <c r="E43" s="135"/>
      <c r="F43" s="135"/>
      <c r="G43" s="135"/>
    </row>
    <row r="44" spans="2:7" ht="12.75">
      <c r="B44" s="135"/>
      <c r="C44" s="135"/>
      <c r="D44" s="135"/>
      <c r="E44" s="135"/>
      <c r="F44" s="135"/>
      <c r="G44" s="135"/>
    </row>
    <row r="45" spans="2:7" ht="12.75">
      <c r="B45" s="135"/>
      <c r="C45" s="135"/>
      <c r="D45" s="135"/>
      <c r="E45" s="135"/>
      <c r="F45" s="135"/>
      <c r="G45" s="135"/>
    </row>
    <row r="46" spans="2:7" ht="12.75">
      <c r="B46" s="135"/>
      <c r="C46" s="135"/>
      <c r="D46" s="135"/>
      <c r="E46" s="135"/>
      <c r="F46" s="135"/>
      <c r="G46" s="135"/>
    </row>
    <row r="47" spans="2:7" ht="12.75">
      <c r="B47" s="135"/>
      <c r="C47" s="135"/>
      <c r="D47" s="135"/>
      <c r="E47" s="135"/>
      <c r="F47" s="135"/>
      <c r="G47" s="135"/>
    </row>
    <row r="48" spans="2:7" ht="12.75">
      <c r="B48" s="135"/>
      <c r="C48" s="135"/>
      <c r="D48" s="135"/>
      <c r="E48" s="135"/>
      <c r="F48" s="135"/>
      <c r="G48" s="135"/>
    </row>
    <row r="49" spans="2:7" ht="12.75">
      <c r="B49" s="135"/>
      <c r="C49" s="135"/>
      <c r="D49" s="135"/>
      <c r="E49" s="135"/>
      <c r="F49" s="135"/>
      <c r="G49" s="135"/>
    </row>
    <row r="50" spans="2:7" ht="12.75">
      <c r="B50" s="135"/>
      <c r="C50" s="135"/>
      <c r="D50" s="135"/>
      <c r="E50" s="135"/>
      <c r="F50" s="135"/>
      <c r="G50" s="135"/>
    </row>
    <row r="51" spans="2:22" ht="12.75">
      <c r="B51" s="121"/>
      <c r="C51" s="121"/>
      <c r="D51" s="121"/>
      <c r="E51" s="121"/>
      <c r="F51" s="121"/>
      <c r="G51" s="121"/>
      <c r="H51" s="121"/>
      <c r="I51" s="121"/>
      <c r="J51" s="121"/>
      <c r="K51" s="121"/>
      <c r="L51" s="121"/>
      <c r="M51" s="121"/>
      <c r="N51" s="121"/>
      <c r="O51" s="121"/>
      <c r="P51" s="121"/>
      <c r="Q51" s="121"/>
      <c r="R51" s="121"/>
      <c r="S51" s="121"/>
      <c r="T51" s="121"/>
      <c r="U51" s="121"/>
      <c r="V51" s="121"/>
    </row>
    <row r="52" spans="1:12" s="139" customFormat="1" ht="12.75">
      <c r="A52" s="151">
        <f>'WJ III Ach Profiles'!G134</f>
      </c>
      <c r="B52" s="145" t="str">
        <f>'WJ III ACH'!B19&amp;" SS="&amp;A52&amp;" RPI="&amp;F52</f>
        <v>Oral Language  SS= RPI=0</v>
      </c>
      <c r="C52" s="145">
        <f>IF(F52="","",F52)</f>
        <v>0</v>
      </c>
      <c r="D52" s="145">
        <f>IF(F52="","",1)</f>
        <v>1</v>
      </c>
      <c r="E52" s="145">
        <f>IF(F52="","",100-(C52+D52))</f>
        <v>99</v>
      </c>
      <c r="F52" s="145">
        <f>'WJ III ACH'!D19</f>
        <v>0</v>
      </c>
      <c r="G52" s="145"/>
      <c r="H52" s="145">
        <f>LOOKUP(C52,rpilevel)</f>
        <v>1</v>
      </c>
      <c r="I52" s="145" t="str">
        <f>IF(H52=1,"Oral language ","")&amp;IF(H53=1,"Oral Expression ","")&amp;IF(H54=1,"Listening Comp. ","")&amp;IF(H56=1,"Brd Rdg ","")&amp;IF(H57=1,"Basic Rdg ","")&amp;IF(H58=1,"Rdg Comp ","")&amp;IF(H60=1,"Brd Math ","")&amp;IF(H61=1,"Math Calc ","")&amp;IF(H62=1,"Math Reas ","")&amp;IF(H64=1,"Brd Wrt ","")&amp;IF(H65=1,"Basic Wrt ","")&amp;IF(H66=1,"Wrt Exp ","")&amp;IF(H68=1,"Acad Skill ","")&amp;IF(H69=1,"Acad Fl ","")&amp;IF(H70=1,"Acad Appl ","")&amp;IF(H71=1,"Acad Know ","")&amp;IF(H72=1,"Ph/Graph ","")</f>
        <v>Oral language Oral Expression Listening Comp. Brd Rdg Basic Rdg Rdg Comp Brd Math Math Calc Math Reas Brd Wrt Basic Wrt Wrt Exp Acad Skill Acad Fl Acad Appl Acad Know Ph/Graph </v>
      </c>
      <c r="J52" s="145"/>
      <c r="K52" s="145"/>
      <c r="L52" s="145"/>
    </row>
    <row r="53" spans="1:12" s="139" customFormat="1" ht="12.75">
      <c r="A53" s="151">
        <f>'WJ III Ach Profiles'!G144</f>
        <v>102</v>
      </c>
      <c r="B53" s="145" t="str">
        <f>'WJ III ACH'!B20&amp;" SS="&amp;A53&amp;" RPI="&amp;F53</f>
        <v>Oral Expression  SS=102 RPI=0</v>
      </c>
      <c r="C53" s="145">
        <f aca="true" t="shared" si="0" ref="C53:C74">IF(F53="","",F53)</f>
        <v>0</v>
      </c>
      <c r="D53" s="145">
        <f aca="true" t="shared" si="1" ref="D53:D72">IF(F53="","",1)</f>
        <v>1</v>
      </c>
      <c r="E53" s="145">
        <f aca="true" t="shared" si="2" ref="E53:E72">IF(F53="","",100-(C53+D53))</f>
        <v>99</v>
      </c>
      <c r="F53" s="145">
        <f>'WJ III ACH'!D20</f>
        <v>0</v>
      </c>
      <c r="G53" s="145"/>
      <c r="H53" s="145">
        <f>LOOKUP(C53,rpilevel)</f>
        <v>1</v>
      </c>
      <c r="I53" s="145">
        <f>IF(H52=2,"Oral language ","")&amp;IF(H53=2,"Oral Expression ","")&amp;IF(H54=2,"Listening Comp. ","")&amp;IF(H56=2,"Brd Rdg ","")&amp;IF(H57=2,"Basic Rdg ","")&amp;IF(H58=2,"Rdg Comp ","")&amp;IF(H60=2,"Brd Math ","")&amp;IF(H61=2,"Math Calc ","")&amp;IF(H62=2,"Math Reas ","")&amp;IF(H64=2,"Brd Wrt ","")&amp;IF(H65=2,"Basic Wrt ","")&amp;IF(H66=2,"Wrt Exp ","")&amp;IF(H68=2,"Acad Skill ","")&amp;IF(H69=2,"Acad Fl ","")&amp;IF(H70=2,"Acad Appl ","")&amp;IF(H71=2,"Acad Know ","")&amp;IF(H72=2,"Ph/Graph ","")</f>
      </c>
      <c r="J53" s="145"/>
      <c r="K53" s="145"/>
      <c r="L53" s="145"/>
    </row>
    <row r="54" spans="1:12" s="139" customFormat="1" ht="12.75">
      <c r="A54" s="151">
        <f>'WJ III Ach Profiles'!G140</f>
      </c>
      <c r="B54" s="145" t="str">
        <f>'WJ III ACH'!B21&amp;" SS="&amp;A54&amp;" RPI="&amp;F54</f>
        <v>Listening Comprehension  SS= RPI=0</v>
      </c>
      <c r="C54" s="145">
        <f t="shared" si="0"/>
        <v>0</v>
      </c>
      <c r="D54" s="145">
        <f t="shared" si="1"/>
        <v>1</v>
      </c>
      <c r="E54" s="145">
        <f t="shared" si="2"/>
        <v>99</v>
      </c>
      <c r="F54" s="145">
        <f>'WJ III ACH'!D21</f>
        <v>0</v>
      </c>
      <c r="G54" s="145"/>
      <c r="H54" s="145">
        <f>LOOKUP(C54,rpilevel)</f>
        <v>1</v>
      </c>
      <c r="I54" s="145">
        <f>IF(H52=3,"Oral language ","")&amp;IF(H53=3,"Oral Expression ","")&amp;IF(H54=3,"Listening Comp.","")&amp;IF(H56=3,"Brd Rdg ","")&amp;IF(H57=3,"Basic Rdg ","")&amp;IF(H58=3,"Rdg Comp ","")&amp;IF(H60=3,"Brd Math ","")&amp;IF(H61=3,"Math Calc ","")&amp;IF(H62=3,"Math Reas ","")&amp;IF(H64=3,"Brd Wrt ","")&amp;IF(H65=3,"Basic Wrt ","")&amp;IF(H66=3,"Wrt Exp ","")&amp;IF(H68=3,"Acad Skill ","")&amp;IF(H69=3,"Acad Fl ","")&amp;IF(H70=3,"Acad Appl ","")&amp;IF(H71=3,"Acad Know ","")&amp;IF(H72=3,"Ph/Graph ","")</f>
      </c>
      <c r="J54" s="145"/>
      <c r="K54" s="145"/>
      <c r="L54" s="145"/>
    </row>
    <row r="55" spans="1:12" s="139" customFormat="1" ht="12.75">
      <c r="A55" s="148"/>
      <c r="B55" s="145"/>
      <c r="C55" s="145">
        <f t="shared" si="0"/>
      </c>
      <c r="D55" s="145">
        <f t="shared" si="1"/>
      </c>
      <c r="E55" s="145">
        <f t="shared" si="2"/>
      </c>
      <c r="F55" s="145"/>
      <c r="G55" s="145"/>
      <c r="H55" s="145"/>
      <c r="I55" s="145">
        <f>IF(H52=4,"Oral language ","")&amp;IF(H53=4,"Oral Expression ","")&amp;IF(H54=4,"Listening Comp. ","")&amp;IF(H56=4,"Brd Rdg ","")&amp;IF(H57=4,"Basic Rdg ","")&amp;IF(H58=4,"Rdg Comp ","")&amp;IF(H60=4,"Brd Math ","")&amp;IF(H61=4,"Math Calc ","")&amp;IF(H62=4,"Math Reas ","")&amp;IF(H64=4,"Brd Wrt ","")&amp;IF(H65=4,"Basic Wrt ","")&amp;IF(H66=4,"Wrt Exp ","")&amp;IF(H68=4,"Acad Skill ","")&amp;IF(H69=4,"Acad Fl ","")&amp;IF(H70=4,"Acad Appl ","")&amp;IF(H71=4,"Acad Know ","")&amp;IF(H72=4,"Ph/Graph ","")</f>
      </c>
      <c r="J55" s="145"/>
      <c r="K55" s="145"/>
      <c r="L55" s="145"/>
    </row>
    <row r="56" spans="1:12" s="139" customFormat="1" ht="12.75">
      <c r="A56" s="151">
        <f>'WJ III Ach Profiles'!G121</f>
        <v>86</v>
      </c>
      <c r="B56" s="145" t="str">
        <f>'WJ III ACH'!B25&amp;" SS="&amp;A56&amp;" RPI="&amp;F56</f>
        <v>Broad Reading  SS=86 RPI=0</v>
      </c>
      <c r="C56" s="145">
        <f t="shared" si="0"/>
        <v>0</v>
      </c>
      <c r="D56" s="145">
        <f t="shared" si="1"/>
        <v>1</v>
      </c>
      <c r="E56" s="145">
        <f t="shared" si="2"/>
        <v>99</v>
      </c>
      <c r="F56" s="145">
        <f>'WJ III ACH'!D25</f>
        <v>0</v>
      </c>
      <c r="G56" s="145"/>
      <c r="H56" s="145">
        <f>LOOKUP(C56,rpilevel)</f>
        <v>1</v>
      </c>
      <c r="I56" s="145">
        <f>IF(H52=5,"Oral language ","")&amp;IF(H53=5,"Oral Expression ","")&amp;IF(H54=5,"Listening Comp. ","")&amp;IF(H56=5,"Brd Rdg ","")&amp;IF(H57=5,"Basic Rdg ","")&amp;IF(H58=5,"Rdg Comp ","")&amp;IF(H60=5,"Brd Math ","")&amp;IF(H61=5,"Math Calc ","")&amp;IF(H62=5,"Math Reas ","")&amp;IF(H64=5,"Brd Wrt ","")&amp;IF(H65=5,"Basic Wrt ","")&amp;IF(H66=5,"Wrt Exp ","")&amp;IF(H68=5,"Acad Skill ","")&amp;IF(H69=5,"Acad Fl ","")&amp;IF(H70=5,"Acad Appl ","")&amp;IF(H71=5,"Acad Know ","")&amp;IF(H72=5,"Ph/Graph ","")</f>
      </c>
      <c r="J56" s="145"/>
      <c r="K56" s="145"/>
      <c r="L56" s="145"/>
    </row>
    <row r="57" spans="1:12" s="139" customFormat="1" ht="12.75">
      <c r="A57" s="151">
        <f>'WJ III Ach Profiles'!G126</f>
        <v>89</v>
      </c>
      <c r="B57" s="145" t="str">
        <f>'WJ III ACH'!B29&amp;" SS="&amp;A57&amp;" RPI="&amp;F57</f>
        <v>Basic Reading Skills  SS=89 RPI=0</v>
      </c>
      <c r="C57" s="145">
        <f t="shared" si="0"/>
        <v>0</v>
      </c>
      <c r="D57" s="145">
        <f t="shared" si="1"/>
        <v>1</v>
      </c>
      <c r="E57" s="145">
        <f t="shared" si="2"/>
        <v>99</v>
      </c>
      <c r="F57" s="145">
        <f>'WJ III ACH'!D29</f>
        <v>0</v>
      </c>
      <c r="G57" s="145"/>
      <c r="H57" s="145">
        <f>LOOKUP(C57,rpilevel)</f>
        <v>1</v>
      </c>
      <c r="I57" s="145"/>
      <c r="J57" s="145"/>
      <c r="K57" s="145"/>
      <c r="L57" s="145"/>
    </row>
    <row r="58" spans="1:15" s="139" customFormat="1" ht="12.75">
      <c r="A58" s="151">
        <f>'WJ III Ach Profiles'!G130</f>
        <v>99</v>
      </c>
      <c r="B58" s="145" t="str">
        <f>'WJ III ACH'!B30&amp;" SS="&amp;A58&amp;" RPI="&amp;F58</f>
        <v>Reading Comprehension  SS=99 RPI=0</v>
      </c>
      <c r="C58" s="145">
        <f t="shared" si="0"/>
        <v>0</v>
      </c>
      <c r="D58" s="145">
        <f t="shared" si="1"/>
        <v>1</v>
      </c>
      <c r="E58" s="145">
        <f t="shared" si="2"/>
        <v>99</v>
      </c>
      <c r="F58" s="145">
        <f>'WJ III ACH'!D30</f>
        <v>0</v>
      </c>
      <c r="G58" s="145"/>
      <c r="H58" s="145">
        <f>LOOKUP(C58,rpilevel)</f>
        <v>1</v>
      </c>
      <c r="I58" s="145"/>
      <c r="J58" s="145"/>
      <c r="K58" s="145"/>
      <c r="L58" s="145" t="str">
        <f>'Ach. Grps by Lvl'!F16</f>
        <v>Academic Knowledge </v>
      </c>
      <c r="N58" s="158">
        <f>LOOKUP(F71,rpilevel)</f>
        <v>1</v>
      </c>
      <c r="O58" s="158">
        <f>IF(N58=5,L58,"")&amp;IF(N59=5,L59,"")&amp;IF(N60=5,L60,"")&amp;IF(N61=5,L61,"")&amp;IF(N62=5,L62,"")&amp;IF(N63=5,L63,"")</f>
      </c>
    </row>
    <row r="59" spans="1:15" s="139" customFormat="1" ht="12.75">
      <c r="A59" s="148"/>
      <c r="B59" s="145"/>
      <c r="C59" s="145">
        <f t="shared" si="0"/>
      </c>
      <c r="D59" s="145">
        <f t="shared" si="1"/>
      </c>
      <c r="E59" s="145">
        <f t="shared" si="2"/>
      </c>
      <c r="F59" s="145"/>
      <c r="G59" s="145"/>
      <c r="H59" s="145"/>
      <c r="I59" s="145"/>
      <c r="J59" s="145"/>
      <c r="K59" s="145"/>
      <c r="L59" s="145" t="str">
        <f>'Ach. Grps by Lvl'!F17</f>
        <v>Broad Reading </v>
      </c>
      <c r="N59" s="158">
        <f>LOOKUP(F56,rpilevel)</f>
        <v>1</v>
      </c>
      <c r="O59" s="145">
        <f>IF(N58=4,L58,"")&amp;IF(N59=4,L59,"")&amp;IF(N60=4,L60,"")&amp;IF(N61=4,L61,"")&amp;IF(N62=4,L62,"")&amp;IF(N63=4,L63,"")</f>
      </c>
    </row>
    <row r="60" spans="1:15" s="139" customFormat="1" ht="12.75">
      <c r="A60" s="151">
        <f>'WJ III Ach Profiles'!G148</f>
        <v>95</v>
      </c>
      <c r="B60" s="145" t="str">
        <f>'WJ III ACH'!B26&amp;" SS="&amp;A60&amp;" RPI="&amp;F60</f>
        <v>Broad Math  SS=95 RPI=0</v>
      </c>
      <c r="C60" s="145">
        <f t="shared" si="0"/>
        <v>0</v>
      </c>
      <c r="D60" s="145">
        <f t="shared" si="1"/>
        <v>1</v>
      </c>
      <c r="E60" s="145">
        <f t="shared" si="2"/>
        <v>99</v>
      </c>
      <c r="F60" s="145">
        <f>'WJ III ACH'!D26</f>
        <v>0</v>
      </c>
      <c r="G60" s="145"/>
      <c r="H60" s="145">
        <f>LOOKUP(C60,rpilevel)</f>
        <v>1</v>
      </c>
      <c r="I60" s="145"/>
      <c r="J60" s="145"/>
      <c r="K60" s="145"/>
      <c r="L60" s="145" t="str">
        <f>'Ach. Grps by Lvl'!F18</f>
        <v>Broad Math </v>
      </c>
      <c r="N60" s="158">
        <f>LOOKUP(F60,rpilevel)</f>
        <v>1</v>
      </c>
      <c r="O60" s="145">
        <f>IF(N58=3,L58,"")&amp;IF(N59=3,L59,"")&amp;IF(N60=3,L60,"")&amp;IF(N61=3,L61,"")&amp;IF(N62=3,L62,"")&amp;IF(N63=3,L63,"")</f>
      </c>
    </row>
    <row r="61" spans="1:15" s="139" customFormat="1" ht="12.75">
      <c r="A61" s="151">
        <f>'WJ III Ach Profiles'!G153</f>
        <v>92</v>
      </c>
      <c r="B61" s="145" t="str">
        <f>'WJ III ACH'!B31&amp;" SS="&amp;A61&amp;" RPI="&amp;F61</f>
        <v>Math Calculations Skills  SS=92 RPI=0</v>
      </c>
      <c r="C61" s="145">
        <f t="shared" si="0"/>
        <v>0</v>
      </c>
      <c r="D61" s="145">
        <f t="shared" si="1"/>
        <v>1</v>
      </c>
      <c r="E61" s="145">
        <f t="shared" si="2"/>
        <v>99</v>
      </c>
      <c r="F61" s="145">
        <f>'WJ III ACH'!D31</f>
        <v>0</v>
      </c>
      <c r="G61" s="145"/>
      <c r="H61" s="145">
        <f>LOOKUP(C61,rpilevel)</f>
        <v>1</v>
      </c>
      <c r="I61" s="145"/>
      <c r="J61" s="145"/>
      <c r="K61" s="145"/>
      <c r="L61" s="145" t="str">
        <f>'Ach. Grps by Lvl'!F19</f>
        <v>Broad Written Language </v>
      </c>
      <c r="N61" s="158">
        <f>LOOKUP(F64,rpilevel)</f>
        <v>1</v>
      </c>
      <c r="O61" s="145">
        <f>IF(N58=2,L58,"")&amp;IF(N59=2,L59,"")&amp;IF(N60=2,L60,"")&amp;IF(N61=2,L61,"")&amp;IF(N62=2,L62,"")&amp;IF(N63=2,L63,"")</f>
      </c>
    </row>
    <row r="62" spans="1:15" s="139" customFormat="1" ht="12.75">
      <c r="A62" s="151">
        <f>'WJ III Ach Profiles'!G157</f>
        <v>101</v>
      </c>
      <c r="B62" s="145" t="str">
        <f>'WJ III ACH'!B32&amp;" SS="&amp;A62&amp;" RPI="&amp;F62</f>
        <v>Math Reasoning  SS=101 RPI=0</v>
      </c>
      <c r="C62" s="145">
        <f t="shared" si="0"/>
        <v>0</v>
      </c>
      <c r="D62" s="145">
        <f t="shared" si="1"/>
        <v>1</v>
      </c>
      <c r="E62" s="145">
        <f t="shared" si="2"/>
        <v>99</v>
      </c>
      <c r="F62" s="145">
        <f>'WJ III ACH'!D32</f>
        <v>0</v>
      </c>
      <c r="G62" s="145"/>
      <c r="H62" s="145">
        <f>LOOKUP(C62,rpilevel)</f>
        <v>1</v>
      </c>
      <c r="I62" s="145"/>
      <c r="J62" s="145"/>
      <c r="K62" s="145"/>
      <c r="L62" s="145" t="str">
        <f>'Ach. Grps by Lvl'!F20</f>
        <v>Total Achievement </v>
      </c>
      <c r="N62" s="158">
        <f>LOOKUP(F74,rpilevel)</f>
        <v>1</v>
      </c>
      <c r="O62" s="145" t="str">
        <f>IF(N58=1,L58,"")&amp;IF(N59=1,L59,"")&amp;IF(N60=1,L60,"")&amp;IF(N61=1,L61,"")&amp;IF(N62=1,L62,"")&amp;IF(N63=1,L63,"")</f>
        <v>Academic Knowledge Broad Reading Broad Math Broad Written Language Total Achievement Oral Language </v>
      </c>
    </row>
    <row r="63" spans="1:15" s="139" customFormat="1" ht="12.75">
      <c r="A63" s="148"/>
      <c r="B63" s="145"/>
      <c r="C63" s="145">
        <f t="shared" si="0"/>
      </c>
      <c r="D63" s="145">
        <f t="shared" si="1"/>
      </c>
      <c r="E63" s="145">
        <f t="shared" si="2"/>
      </c>
      <c r="F63" s="145"/>
      <c r="G63" s="145"/>
      <c r="H63" s="145"/>
      <c r="I63" s="145"/>
      <c r="J63" s="145"/>
      <c r="K63" s="145"/>
      <c r="L63" s="145" t="str">
        <f>'Ach. Grps by Lvl'!F21</f>
        <v>Oral Language </v>
      </c>
      <c r="N63" s="158">
        <f>LOOKUP(F52,rpilevel)</f>
        <v>1</v>
      </c>
      <c r="O63" s="145"/>
    </row>
    <row r="64" spans="1:12" s="139" customFormat="1" ht="12.75">
      <c r="A64" s="151">
        <f>'WJ III Ach Profiles'!G161</f>
        <v>92</v>
      </c>
      <c r="B64" s="145" t="str">
        <f>'WJ III ACH'!B27&amp;" SS="&amp;A64&amp;" RPI="&amp;F64</f>
        <v>Broad Written Language  SS=92 RPI=0</v>
      </c>
      <c r="C64" s="145">
        <f t="shared" si="0"/>
        <v>0</v>
      </c>
      <c r="D64" s="145">
        <f t="shared" si="1"/>
        <v>1</v>
      </c>
      <c r="E64" s="145">
        <f t="shared" si="2"/>
        <v>99</v>
      </c>
      <c r="F64" s="145">
        <f>'WJ III ACH'!D27</f>
        <v>0</v>
      </c>
      <c r="G64" s="145"/>
      <c r="H64" s="145">
        <f>LOOKUP(C64,rpilevel)</f>
        <v>1</v>
      </c>
      <c r="I64" s="145"/>
      <c r="J64" s="145"/>
      <c r="K64" s="145"/>
      <c r="L64" s="145"/>
    </row>
    <row r="65" spans="1:12" s="139" customFormat="1" ht="12.75">
      <c r="A65" s="151">
        <f>'WJ III Ach Profiles'!G167</f>
        <v>95</v>
      </c>
      <c r="B65" s="145" t="str">
        <f>'WJ III ACH'!B33&amp;" SS="&amp;A65&amp;" RPI="&amp;F65</f>
        <v>Basic Writing Skills  SS=95 RPI=0</v>
      </c>
      <c r="C65" s="145">
        <f t="shared" si="0"/>
        <v>0</v>
      </c>
      <c r="D65" s="145">
        <f t="shared" si="1"/>
        <v>1</v>
      </c>
      <c r="E65" s="145">
        <f t="shared" si="2"/>
        <v>99</v>
      </c>
      <c r="F65" s="145">
        <f>'WJ III ACH'!D33</f>
        <v>0</v>
      </c>
      <c r="G65" s="145"/>
      <c r="H65" s="145">
        <f>LOOKUP(C65,rpilevel)</f>
        <v>1</v>
      </c>
      <c r="I65" s="145"/>
      <c r="J65" s="145"/>
      <c r="K65" s="145"/>
      <c r="L65" s="145"/>
    </row>
    <row r="66" spans="1:15" s="139" customFormat="1" ht="12.75">
      <c r="A66" s="151">
        <f>'WJ III Ach Profiles'!G170</f>
        <v>89</v>
      </c>
      <c r="B66" s="145" t="str">
        <f>'WJ III ACH'!B34&amp;" SS="&amp;A66&amp;" RPI="&amp;F66</f>
        <v>Written Expression  SS=89 RPI=0</v>
      </c>
      <c r="C66" s="145">
        <f t="shared" si="0"/>
        <v>0</v>
      </c>
      <c r="D66" s="145">
        <f t="shared" si="1"/>
        <v>1</v>
      </c>
      <c r="E66" s="145">
        <f t="shared" si="2"/>
        <v>99</v>
      </c>
      <c r="F66" s="145">
        <f>'WJ III ACH'!D34</f>
        <v>0</v>
      </c>
      <c r="G66" s="145"/>
      <c r="H66" s="145">
        <f>LOOKUP(C66,rpilevel)</f>
        <v>1</v>
      </c>
      <c r="I66" s="145"/>
      <c r="J66" s="145"/>
      <c r="K66" s="145"/>
      <c r="L66" s="145" t="str">
        <f>'Ach. Grps by Lvl'!F24</f>
        <v>Math Reasoning </v>
      </c>
      <c r="N66" s="158">
        <f>LOOKUP(F62,rpilevel)</f>
        <v>1</v>
      </c>
      <c r="O66" s="158"/>
    </row>
    <row r="67" spans="1:14" s="139" customFormat="1" ht="12.75">
      <c r="A67" s="148"/>
      <c r="B67" s="145"/>
      <c r="C67" s="145">
        <f t="shared" si="0"/>
      </c>
      <c r="D67" s="145">
        <f t="shared" si="1"/>
      </c>
      <c r="E67" s="145">
        <f t="shared" si="2"/>
      </c>
      <c r="F67" s="145"/>
      <c r="G67" s="145"/>
      <c r="H67" s="145"/>
      <c r="I67" s="145"/>
      <c r="J67" s="145"/>
      <c r="K67" s="145"/>
      <c r="L67" s="145" t="str">
        <f>'Ach. Grps by Lvl'!F25</f>
        <v>Oral Expression </v>
      </c>
      <c r="N67" s="158">
        <f>LOOKUP(F53,rpilevel)</f>
        <v>1</v>
      </c>
    </row>
    <row r="68" spans="1:14" s="139" customFormat="1" ht="12.75">
      <c r="A68" s="151">
        <f>'WJ III Ach Profiles'!G180</f>
        <v>90</v>
      </c>
      <c r="B68" s="145" t="str">
        <f>'WJ III ACH'!B36&amp;" SS="&amp;A68&amp;" RPI="&amp;F68</f>
        <v>Academic Skills  SS=90 RPI=0</v>
      </c>
      <c r="C68" s="145">
        <f t="shared" si="0"/>
        <v>0</v>
      </c>
      <c r="D68" s="145">
        <f t="shared" si="1"/>
        <v>1</v>
      </c>
      <c r="E68" s="145">
        <f t="shared" si="2"/>
        <v>99</v>
      </c>
      <c r="F68" s="145">
        <f>'WJ III ACH'!D36</f>
        <v>0</v>
      </c>
      <c r="G68" s="145"/>
      <c r="H68" s="145">
        <f>LOOKUP(C68,rpilevel)</f>
        <v>1</v>
      </c>
      <c r="I68" s="145"/>
      <c r="J68" s="145"/>
      <c r="K68" s="145"/>
      <c r="L68" s="145" t="str">
        <f>'Ach. Grps by Lvl'!F26</f>
        <v>Listening Comprehension </v>
      </c>
      <c r="N68" s="158">
        <f>LOOKUP(F54,rpilevel)</f>
        <v>1</v>
      </c>
    </row>
    <row r="69" spans="1:14" s="139" customFormat="1" ht="12.75">
      <c r="A69" s="151">
        <f>'WJ III Ach Profiles'!G185</f>
        <v>82</v>
      </c>
      <c r="B69" s="145" t="str">
        <f>'WJ III ACH'!B37&amp;" SS="&amp;A69&amp;" RPI="&amp;F69</f>
        <v>Academic Fluency  SS=82 RPI=0</v>
      </c>
      <c r="C69" s="145">
        <f t="shared" si="0"/>
        <v>0</v>
      </c>
      <c r="D69" s="145">
        <f t="shared" si="1"/>
        <v>1</v>
      </c>
      <c r="E69" s="145">
        <f t="shared" si="2"/>
        <v>99</v>
      </c>
      <c r="F69" s="145">
        <f>'WJ III ACH'!D37</f>
        <v>0</v>
      </c>
      <c r="G69" s="145"/>
      <c r="H69" s="145">
        <f>LOOKUP(C69,rpilevel)</f>
        <v>1</v>
      </c>
      <c r="I69" s="145"/>
      <c r="J69" s="145"/>
      <c r="K69" s="145"/>
      <c r="L69" s="145" t="str">
        <f>'Ach. Grps by Lvl'!F27</f>
        <v>Reading Comprehension </v>
      </c>
      <c r="N69" s="158">
        <f>LOOKUP(F58,rpilevel)</f>
        <v>1</v>
      </c>
    </row>
    <row r="70" spans="1:14" s="139" customFormat="1" ht="12.75">
      <c r="A70" s="151">
        <f>'WJ III Ach Profiles'!G190</f>
        <v>96</v>
      </c>
      <c r="B70" s="145" t="str">
        <f>'WJ III ACH'!B38&amp;" SS="&amp;A70&amp;" RPI="&amp;F70</f>
        <v>Academic Applications  SS=96 RPI=0</v>
      </c>
      <c r="C70" s="145">
        <f t="shared" si="0"/>
        <v>0</v>
      </c>
      <c r="D70" s="145">
        <f t="shared" si="1"/>
        <v>1</v>
      </c>
      <c r="E70" s="145">
        <f t="shared" si="2"/>
        <v>99</v>
      </c>
      <c r="F70" s="145">
        <f>'WJ III ACH'!D38</f>
        <v>0</v>
      </c>
      <c r="G70" s="145"/>
      <c r="H70" s="145">
        <f>LOOKUP(C70,rpilevel)</f>
        <v>1</v>
      </c>
      <c r="I70" s="145"/>
      <c r="J70" s="145"/>
      <c r="K70" s="145"/>
      <c r="L70" s="145" t="str">
        <f>'Ach. Grps by Lvl'!F28</f>
        <v>Math Calculations Skills </v>
      </c>
      <c r="N70" s="158">
        <f>LOOKUP(F61,rpilevel)</f>
        <v>1</v>
      </c>
    </row>
    <row r="71" spans="1:14" s="139" customFormat="1" ht="12.75">
      <c r="A71" s="151">
        <f>'WJ III Ach Profiles'!G174</f>
        <v>102</v>
      </c>
      <c r="B71" s="145" t="str">
        <f>'WJ III ACH'!B39&amp;" SS="&amp;A71&amp;" RPI="&amp;F71</f>
        <v>Academic Knowledge  SS=102 RPI=0</v>
      </c>
      <c r="C71" s="145">
        <f t="shared" si="0"/>
        <v>0</v>
      </c>
      <c r="D71" s="145">
        <f t="shared" si="1"/>
        <v>1</v>
      </c>
      <c r="E71" s="145">
        <f t="shared" si="2"/>
        <v>99</v>
      </c>
      <c r="F71" s="145">
        <f>'WJ III ACH'!D39</f>
        <v>0</v>
      </c>
      <c r="G71" s="145"/>
      <c r="H71" s="145">
        <f>LOOKUP(C71,rpilevel)</f>
        <v>1</v>
      </c>
      <c r="I71" s="145"/>
      <c r="J71" s="145"/>
      <c r="K71" s="145"/>
      <c r="L71" s="145" t="str">
        <f>'Ach. Grps by Lvl'!F29</f>
        <v>Written Expression </v>
      </c>
      <c r="N71" s="158">
        <f>LOOKUP(F66,rpilevel)</f>
        <v>1</v>
      </c>
    </row>
    <row r="72" spans="1:14" s="139" customFormat="1" ht="12.75">
      <c r="A72" s="151">
        <f>'WJ III Ach Profiles'!G176</f>
        <v>87</v>
      </c>
      <c r="B72" s="145" t="str">
        <f>'WJ III ACH'!B40&amp;" SS="&amp;A72&amp;" RPI="&amp;F72</f>
        <v>Phoneme/Grapheme Knowledge  SS=87 RPI=0</v>
      </c>
      <c r="C72" s="145">
        <f t="shared" si="0"/>
        <v>0</v>
      </c>
      <c r="D72" s="145">
        <f t="shared" si="1"/>
        <v>1</v>
      </c>
      <c r="E72" s="145">
        <f t="shared" si="2"/>
        <v>99</v>
      </c>
      <c r="F72" s="145">
        <f>'WJ III ACH'!D40</f>
        <v>0</v>
      </c>
      <c r="G72" s="145"/>
      <c r="H72" s="145">
        <f>LOOKUP(C72,rpilevel)</f>
        <v>1</v>
      </c>
      <c r="I72" s="145"/>
      <c r="J72" s="145"/>
      <c r="K72" s="145"/>
      <c r="L72" s="145" t="str">
        <f>'Ach. Grps by Lvl'!F30</f>
        <v>Academic Fluency </v>
      </c>
      <c r="N72" s="158">
        <f>LOOKUP(F69,rpilevel)</f>
        <v>1</v>
      </c>
    </row>
    <row r="73" spans="1:15" s="139" customFormat="1" ht="12.75">
      <c r="A73" s="145"/>
      <c r="B73" s="145"/>
      <c r="C73" s="145"/>
      <c r="D73" s="145"/>
      <c r="E73" s="145"/>
      <c r="F73" s="145"/>
      <c r="G73" s="145"/>
      <c r="H73" s="145"/>
      <c r="I73" s="145"/>
      <c r="J73" s="145"/>
      <c r="K73" s="145"/>
      <c r="L73" s="145" t="str">
        <f>'Ach. Grps by Lvl'!F31</f>
        <v>Academic Applications </v>
      </c>
      <c r="N73" s="158">
        <f>LOOKUP(F70,rpilevel)</f>
        <v>1</v>
      </c>
      <c r="O73" s="158">
        <f>IF(N66=5,L66,"")&amp;IF(N67=5,L67,"")&amp;IF(N68=5,L68,"")&amp;IF(N69=5,L69,"")&amp;IF(N70=5,L70,"")&amp;IF(N71=5,L71,"")&amp;IF(N72=5,L72,"")&amp;IF(N73=5,L73,"")&amp;IF(N74=5,L74,"")&amp;IF(N75=5,L75,"")&amp;IF(N76=5,L76,"")&amp;IF(N77=5,L77,"")</f>
      </c>
    </row>
    <row r="74" spans="1:15" s="139" customFormat="1" ht="12.75">
      <c r="A74" s="145"/>
      <c r="C74" s="145">
        <f t="shared" si="0"/>
        <v>0</v>
      </c>
      <c r="D74" s="145"/>
      <c r="F74" s="145">
        <f>'WJ III ACH'!D23</f>
        <v>0</v>
      </c>
      <c r="G74" s="145"/>
      <c r="H74" s="145">
        <f>LOOKUP(F74,rpilevel)</f>
        <v>1</v>
      </c>
      <c r="I74" s="145"/>
      <c r="J74" s="145"/>
      <c r="K74" s="145"/>
      <c r="L74" s="145" t="str">
        <f>'Ach. Grps by Lvl'!F32</f>
        <v>Basic Reading Skills </v>
      </c>
      <c r="N74" s="158">
        <f>LOOKUP(F57,rpilevel)</f>
        <v>1</v>
      </c>
      <c r="O74" s="158">
        <f>IF(N66=4,L66,"")&amp;IF(N67=4,L67,"")&amp;IF(N68=4,L68,"")&amp;IF(N69=4,L69,"")&amp;IF(N70=4,L70,"")&amp;IF(N71=4,L71,"")&amp;IF(N72=4,L72,"")&amp;IF(N73=4,L73,"")&amp;IF(N74=4,L74,"")&amp;IF(N75=4,L75,"")&amp;IF(N76=4,L76,"")&amp;IF(N77=4,L77,"")</f>
      </c>
    </row>
    <row r="75" spans="1:15" s="139" customFormat="1" ht="12.75">
      <c r="A75" s="145"/>
      <c r="B75" s="145"/>
      <c r="C75" s="145"/>
      <c r="D75" s="145"/>
      <c r="E75" s="145"/>
      <c r="F75" s="145"/>
      <c r="G75" s="145"/>
      <c r="H75" s="145"/>
      <c r="I75" s="145"/>
      <c r="J75" s="145"/>
      <c r="K75" s="145"/>
      <c r="L75" s="145" t="str">
        <f>'Ach. Grps by Lvl'!F33</f>
        <v>Basic Writing Skills </v>
      </c>
      <c r="N75" s="158">
        <f>LOOKUP(F65,rpilevel)</f>
        <v>1</v>
      </c>
      <c r="O75" s="158">
        <f>IF(N66=3,L66,"")&amp;IF(N67=3,L67,"")&amp;IF(N68=3,L68,"")&amp;IF(N69=3,L69,"")&amp;IF(N70=3,L70,"")&amp;IF(N71=3,L71,"")&amp;IF(N72=3,L72,"")&amp;IF(N73=3,L73,"")&amp;IF(N74=3,L74,"")&amp;IF(N75=3,L75,"")&amp;IF(N76=3,L76,"")&amp;IF(N77=3,L77,"")</f>
      </c>
    </row>
    <row r="76" spans="1:15" s="139" customFormat="1" ht="12.75">
      <c r="A76" s="145"/>
      <c r="B76" s="145"/>
      <c r="C76" s="145"/>
      <c r="D76" s="145"/>
      <c r="E76" s="145"/>
      <c r="F76" s="145"/>
      <c r="G76" s="145">
        <v>0</v>
      </c>
      <c r="H76" s="145">
        <v>4</v>
      </c>
      <c r="I76" s="145">
        <v>25</v>
      </c>
      <c r="J76" s="145">
        <v>75</v>
      </c>
      <c r="K76" s="145">
        <v>97</v>
      </c>
      <c r="L76" s="145" t="str">
        <f>'Ach. Grps by Lvl'!F34</f>
        <v>Phoneme/Grapheme Knowledge </v>
      </c>
      <c r="N76" s="158">
        <f>LOOKUP(F72,rpilevel)</f>
        <v>1</v>
      </c>
      <c r="O76" s="158">
        <f>IF(N66=2,L66,"")&amp;IF(N67=2,L67,"")&amp;IF(N68=2,L68,"")&amp;IF(N69=2,L69,"")&amp;IF(N70=2,L70,"")&amp;IF(N71=2,L71,"")&amp;IF(N72=2,L72,"")&amp;IF(N73=2,L73,"")&amp;IF(N74=2,L74,"")&amp;IF(N75=2,L75,"")&amp;IF(N76=2,L76,"")&amp;IF(N77=2,L77,"")</f>
      </c>
    </row>
    <row r="77" spans="1:15" s="139" customFormat="1" ht="12.75">
      <c r="A77" s="145"/>
      <c r="B77" s="145"/>
      <c r="C77" s="145"/>
      <c r="D77" s="145"/>
      <c r="E77" s="145"/>
      <c r="F77" s="145"/>
      <c r="G77" s="145">
        <v>1</v>
      </c>
      <c r="H77" s="145">
        <v>2</v>
      </c>
      <c r="I77" s="145">
        <v>3</v>
      </c>
      <c r="J77" s="145">
        <v>4</v>
      </c>
      <c r="K77" s="145">
        <v>5</v>
      </c>
      <c r="L77" s="145" t="str">
        <f>'Ach. Grps by Lvl'!F35</f>
        <v>Academic Skills </v>
      </c>
      <c r="N77" s="158">
        <f>LOOKUP(F68,rpilevel)</f>
        <v>1</v>
      </c>
      <c r="O77" s="158" t="str">
        <f>IF(N66=1,L66,"")&amp;IF(N67=1,L67,"")&amp;IF(N68=1,L68,"")&amp;IF(N69=1,L69,"")&amp;IF(N70=1,L70,"")&amp;IF(N71=1,L71,"")&amp;IF(N72=1,L72,"")&amp;IF(N73=1,L73,"")&amp;IF(N74=1,L74,"")&amp;IF(N75=1,L75,"")&amp;IF(N76=1,L76,"")&amp;IF(N77=1,L77,"")</f>
        <v>Math Reasoning Oral Expression Listening Comprehension Reading Comprehension Math Calculations Skills Written Expression Academic Fluency Academic Applications Basic Reading Skills Basic Writing Skills Phoneme/Grapheme Knowledge Academic Skills </v>
      </c>
    </row>
    <row r="78" s="139" customFormat="1" ht="12.75"/>
    <row r="79" s="121" customFormat="1" ht="12.75"/>
    <row r="80" spans="2:22" ht="12.75">
      <c r="B80" s="121"/>
      <c r="C80" s="121"/>
      <c r="D80" s="121"/>
      <c r="E80" s="121"/>
      <c r="F80" s="121"/>
      <c r="G80" s="121"/>
      <c r="H80" s="121"/>
      <c r="I80" s="121"/>
      <c r="J80" s="121"/>
      <c r="K80" s="121"/>
      <c r="L80" s="121"/>
      <c r="M80" s="121"/>
      <c r="N80" s="121"/>
      <c r="O80" s="121"/>
      <c r="P80" s="121"/>
      <c r="Q80" s="121"/>
      <c r="R80" s="121"/>
      <c r="S80" s="121"/>
      <c r="T80" s="121"/>
      <c r="U80" s="121"/>
      <c r="V80" s="121"/>
    </row>
    <row r="81" spans="2:22" ht="12.75">
      <c r="B81" s="121"/>
      <c r="C81" s="121"/>
      <c r="D81" s="121"/>
      <c r="E81" s="121"/>
      <c r="F81" s="121"/>
      <c r="G81" s="121"/>
      <c r="H81" s="121"/>
      <c r="I81" s="121"/>
      <c r="J81" s="121"/>
      <c r="K81" s="121"/>
      <c r="L81" s="121"/>
      <c r="M81" s="121"/>
      <c r="N81" s="121"/>
      <c r="O81" s="121"/>
      <c r="P81" s="121"/>
      <c r="Q81" s="121"/>
      <c r="R81" s="121"/>
      <c r="S81" s="121"/>
      <c r="T81" s="121"/>
      <c r="U81" s="121"/>
      <c r="V81" s="121"/>
    </row>
  </sheetData>
  <sheetProtection password="8D61" sheet="1" objects="1" scenarios="1"/>
  <printOptions horizontalCentered="1" verticalCentered="1"/>
  <pageMargins left="0" right="0" top="0" bottom="0" header="0.5" footer="0.5"/>
  <pageSetup horizontalDpi="300" verticalDpi="300" orientation="landscape" r:id="rId2"/>
  <headerFooter alignWithMargins="0">
    <oddHeader>&amp;C&amp;"Geneva,Bold"&amp;16WJ III ™   Achievement RPI</oddHeader>
    <oddFooter>&amp;L&amp;8Woodcock-Johnson III by Richard W. Woodcock, Kevin S. McGrew, and Nancy Mather © Riverside Publishing, 2001.
All rights Reserve&amp;10d&amp;R&amp;8Page &amp;P
©Template created by Ron Dumont and John Willis</oddFooter>
  </headerFooter>
  <rowBreaks count="1" manualBreakCount="1">
    <brk id="31" max="255" man="1"/>
  </rowBreaks>
  <drawing r:id="rId1"/>
</worksheet>
</file>

<file path=xl/worksheets/sheet12.xml><?xml version="1.0" encoding="utf-8"?>
<worksheet xmlns="http://schemas.openxmlformats.org/spreadsheetml/2006/main" xmlns:r="http://schemas.openxmlformats.org/officeDocument/2006/relationships">
  <sheetPr>
    <tabColor indexed="25"/>
  </sheetPr>
  <dimension ref="A4:AL279"/>
  <sheetViews>
    <sheetView showGridLines="0" zoomScalePageLayoutView="0" workbookViewId="0" topLeftCell="A1">
      <selection activeCell="D8" sqref="D8"/>
    </sheetView>
  </sheetViews>
  <sheetFormatPr defaultColWidth="8.75390625" defaultRowHeight="12.75"/>
  <cols>
    <col min="1" max="1" width="23.25390625" style="0" customWidth="1"/>
    <col min="2" max="2" width="12.375" style="0" customWidth="1"/>
    <col min="3" max="3" width="15.25390625" style="0" customWidth="1"/>
    <col min="4" max="4" width="43.625" style="0" customWidth="1"/>
    <col min="5" max="5" width="8.75390625" style="0" customWidth="1"/>
    <col min="6" max="6" width="28.75390625" style="231" hidden="1" customWidth="1"/>
    <col min="7" max="7" width="4.00390625" style="231" hidden="1" customWidth="1"/>
    <col min="8" max="9" width="5.125" style="231" hidden="1" customWidth="1"/>
    <col min="10" max="12" width="3.00390625" style="231" hidden="1" customWidth="1"/>
    <col min="13" max="15" width="4.00390625" style="231" hidden="1" customWidth="1"/>
    <col min="16" max="16" width="8.75390625" style="231" hidden="1" customWidth="1"/>
    <col min="17" max="38" width="0" style="231" hidden="1" customWidth="1"/>
  </cols>
  <sheetData>
    <row r="1" ht="11.25" customHeight="1"/>
    <row r="2" ht="12.75" hidden="1"/>
    <row r="3" ht="12.75" hidden="1"/>
    <row r="4" spans="1:4" ht="12.75">
      <c r="A4" s="113"/>
      <c r="B4" s="113"/>
      <c r="C4" s="114" t="s">
        <v>339</v>
      </c>
      <c r="D4" s="114" t="s">
        <v>340</v>
      </c>
    </row>
    <row r="5" spans="1:4" ht="45" customHeight="1">
      <c r="A5" s="115" t="s">
        <v>180</v>
      </c>
      <c r="B5" s="119" t="s">
        <v>331</v>
      </c>
      <c r="C5" s="155">
        <f aca="true" t="shared" si="0" ref="C5:C12">I16</f>
      </c>
      <c r="D5" s="155">
        <f>I24</f>
      </c>
    </row>
    <row r="6" spans="1:4" ht="45" customHeight="1">
      <c r="A6" s="115" t="s">
        <v>179</v>
      </c>
      <c r="B6" s="119" t="s">
        <v>323</v>
      </c>
      <c r="C6" s="155">
        <f t="shared" si="0"/>
      </c>
      <c r="D6" s="155">
        <f aca="true" t="shared" si="1" ref="D6:D12">I25</f>
      </c>
    </row>
    <row r="7" spans="1:4" ht="45" customHeight="1">
      <c r="A7" s="115" t="s">
        <v>178</v>
      </c>
      <c r="B7" s="119" t="s">
        <v>324</v>
      </c>
      <c r="C7" s="155">
        <f t="shared" si="0"/>
      </c>
      <c r="D7" s="155">
        <f t="shared" si="1"/>
      </c>
    </row>
    <row r="8" spans="1:4" ht="45" customHeight="1">
      <c r="A8" s="115" t="s">
        <v>177</v>
      </c>
      <c r="B8" s="119" t="s">
        <v>325</v>
      </c>
      <c r="C8" s="155" t="str">
        <f t="shared" si="0"/>
        <v>Academic Knowledge Broad Written Language Total Achievement </v>
      </c>
      <c r="D8" s="155" t="str">
        <f t="shared" si="1"/>
        <v>Math Reasoning Oral Expression Math Calculations Skills Academic Applications Basic Writing Skills Academic Skills </v>
      </c>
    </row>
    <row r="9" spans="1:4" ht="45" customHeight="1">
      <c r="A9" s="115" t="s">
        <v>176</v>
      </c>
      <c r="B9" s="119" t="s">
        <v>326</v>
      </c>
      <c r="C9" s="155" t="str">
        <f t="shared" si="0"/>
        <v>Broad Reading </v>
      </c>
      <c r="D9" s="155" t="str">
        <f t="shared" si="1"/>
        <v>Written Expression Academic Fluency Basic Reading Skills Phoneme/Grapheme Knowledge </v>
      </c>
    </row>
    <row r="10" spans="1:4" ht="45" customHeight="1">
      <c r="A10" s="115" t="s">
        <v>175</v>
      </c>
      <c r="B10" s="119" t="s">
        <v>327</v>
      </c>
      <c r="C10" s="155">
        <f t="shared" si="0"/>
      </c>
      <c r="D10" s="155">
        <f t="shared" si="1"/>
      </c>
    </row>
    <row r="11" spans="1:4" ht="45" customHeight="1">
      <c r="A11" s="115" t="s">
        <v>322</v>
      </c>
      <c r="B11" s="119" t="s">
        <v>328</v>
      </c>
      <c r="C11" s="155">
        <f t="shared" si="0"/>
      </c>
      <c r="D11" s="155">
        <f t="shared" si="1"/>
      </c>
    </row>
    <row r="12" spans="1:4" ht="45" customHeight="1">
      <c r="A12" s="115"/>
      <c r="B12" s="119" t="s">
        <v>329</v>
      </c>
      <c r="C12" s="155">
        <f t="shared" si="0"/>
      </c>
      <c r="D12" s="155">
        <f t="shared" si="1"/>
      </c>
    </row>
    <row r="15" spans="5:9" ht="12.75">
      <c r="E15" s="139"/>
      <c r="F15" s="232"/>
      <c r="G15" s="232"/>
      <c r="H15" s="232"/>
      <c r="I15" s="232"/>
    </row>
    <row r="16" spans="5:38" s="125" customFormat="1" ht="12.75">
      <c r="E16" s="139"/>
      <c r="F16" s="232" t="str">
        <f>'WJ III ACH'!B39</f>
        <v>Academic Knowledge </v>
      </c>
      <c r="G16" s="232">
        <f>IF('WJ III ACH'!C39="","",'WJ III ACH'!C39)</f>
        <v>102</v>
      </c>
      <c r="H16" s="233">
        <f aca="true" t="shared" si="2" ref="H16:H35">IF(G16="","",LOOKUP(G16,level))</f>
        <v>5</v>
      </c>
      <c r="I16" s="232">
        <f>IF(H16=8,F16,"")&amp;IF(H17=8,F17,"")&amp;IF(H18=8,F18,"")&amp;IF(H19=8,F19,"")&amp;IF(H20=8,F20,"")&amp;IF(H21=8,F21,"")</f>
      </c>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row>
    <row r="17" spans="5:38" s="125" customFormat="1" ht="12.75">
      <c r="E17" s="191"/>
      <c r="F17" s="232" t="str">
        <f>'WJ III ACH'!B25</f>
        <v>Broad Reading </v>
      </c>
      <c r="G17" s="232">
        <f>IF('WJ III ACH'!C25="","",'WJ III ACH'!C25)</f>
        <v>86</v>
      </c>
      <c r="H17" s="233">
        <f t="shared" si="2"/>
        <v>4</v>
      </c>
      <c r="I17" s="232">
        <f>IF(H16=7,F16,"")&amp;IF(H17=7,F17,"")&amp;IF(H18=7,F18,"")&amp;IF(H19=7,F19,"")&amp;IF(H20=7,F20,"")&amp;IF(H21=7,F21,"")</f>
      </c>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row>
    <row r="18" spans="5:38" s="125" customFormat="1" ht="12.75">
      <c r="E18" s="191"/>
      <c r="F18" s="232" t="str">
        <f>'WJ III ACH'!B26</f>
        <v>Broad Math </v>
      </c>
      <c r="G18" s="232">
        <f>IF('WJ III ACH'!C26="","",'WJ III ACH'!C26)</f>
        <v>95</v>
      </c>
      <c r="H18" s="233">
        <f t="shared" si="2"/>
        <v>5</v>
      </c>
      <c r="I18" s="232">
        <f>IF(H16=6,F16,"")&amp;IF(H17=6,F17,"")&amp;IF(H18=6,F18,"")&amp;IF(H19=6,F19,"")&amp;IF(H20=6,F20,"")&amp;IF(H21=6,F21,"")</f>
      </c>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row>
    <row r="19" spans="5:38" s="125" customFormat="1" ht="12.75">
      <c r="E19" s="191"/>
      <c r="F19" s="232" t="str">
        <f>'WJ III ACH'!B27</f>
        <v>Broad Written Language </v>
      </c>
      <c r="G19" s="232">
        <f>IF('WJ III ACH'!C27="","",'WJ III ACH'!C27)</f>
        <v>92</v>
      </c>
      <c r="H19" s="233">
        <f t="shared" si="2"/>
        <v>5</v>
      </c>
      <c r="I19" s="232" t="str">
        <f>IF(H16=5,F16,"")&amp;IF(H17=5,F17,"")&amp;IF(H15=8,F18,"")&amp;IF(H19=5,F19,"")&amp;IF(H20=5,F20,"")&amp;IF(H21=5,F21,"")</f>
        <v>Academic Knowledge Broad Written Language Total Achievement </v>
      </c>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row>
    <row r="20" spans="5:38" s="125" customFormat="1" ht="12.75">
      <c r="E20" s="191"/>
      <c r="F20" s="232" t="str">
        <f>'WJ III ACH'!B23</f>
        <v>Total Achievement </v>
      </c>
      <c r="G20" s="232">
        <f>IF('WJ III ACH'!C23="","",'WJ III ACH'!C23)</f>
        <v>90</v>
      </c>
      <c r="H20" s="233">
        <f t="shared" si="2"/>
        <v>5</v>
      </c>
      <c r="I20" s="232" t="str">
        <f>IF(H16=4,F16,"")&amp;IF(H17=4,F17,"")&amp;IF(H18=4,F18,"")&amp;IF(H19=4,F19,"")&amp;IF(H20=4,F20,"")&amp;IF(H21=4,F21,"")</f>
        <v>Broad Reading </v>
      </c>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row>
    <row r="21" spans="5:38" s="125" customFormat="1" ht="12.75">
      <c r="E21" s="191"/>
      <c r="F21" s="232" t="str">
        <f>'WJ III ACH'!B19</f>
        <v>Oral Language </v>
      </c>
      <c r="G21" s="232">
        <f>IF('WJ III ACH'!C219="","",'WJ III ACH'!C19)</f>
      </c>
      <c r="H21" s="233">
        <f t="shared" si="2"/>
      </c>
      <c r="I21" s="232">
        <f>IF(H16=3,F16,"")&amp;IF(H17=3,F17,"")&amp;IF(H18=3,F18,"")&amp;IF(H19=3,F19,"")&amp;IF(H20=3,F20,"")&amp;IF(H21=3,F21,"")</f>
      </c>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row>
    <row r="22" spans="5:38" s="125" customFormat="1" ht="12.75">
      <c r="E22" s="191"/>
      <c r="F22" s="232"/>
      <c r="G22" s="232"/>
      <c r="H22" s="233">
        <f t="shared" si="2"/>
      </c>
      <c r="I22" s="232">
        <f>IF(H16=2,F16,"")&amp;IF(H17=2,F17,"")&amp;IF(H18=2,F18,"")&amp;IF(H19=2,F19,"")&amp;IF(H20=2,F20,"")&amp;IF(H21=2,F21,"")</f>
      </c>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row>
    <row r="23" spans="5:38" s="125" customFormat="1" ht="12.75">
      <c r="E23" s="191"/>
      <c r="F23" s="232"/>
      <c r="G23" s="232"/>
      <c r="H23" s="233">
        <f t="shared" si="2"/>
      </c>
      <c r="I23" s="232">
        <f>IF(H16=1,F16,"")&amp;IF(H17=1,F17,"")&amp;IF(H18=1,F18,"")&amp;IF(H19=1,F19,"")&amp;IF(H20=1,F20,"")&amp;IF(H21=1,F21,"")</f>
      </c>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row>
    <row r="24" spans="5:38" s="125" customFormat="1" ht="12.75">
      <c r="E24" s="191"/>
      <c r="F24" s="232" t="str">
        <f>'WJ III ACH'!B32</f>
        <v>Math Reasoning </v>
      </c>
      <c r="G24" s="232">
        <f>IF('WJ III ACH'!C32="","",'WJ III ACH'!C32)</f>
        <v>101</v>
      </c>
      <c r="H24" s="233">
        <f t="shared" si="2"/>
        <v>5</v>
      </c>
      <c r="I24" s="232">
        <f>IF(H24=8,F24,"")&amp;IF(H25=8,F25,"")&amp;IF(H26=8,F26,"")&amp;IF(H27=8,F27,"")&amp;IF(H28=8,F28,"")&amp;IF(H29=8,F29,"")&amp;IF(H30=8,F30,"")&amp;IF(H31=8,F31,"")&amp;IF(H32=8,F32,"")&amp;IF(H33=8,F33,"")&amp;IF(H34=8,F34,"")&amp;IF(H35=8,F35,"")</f>
      </c>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row>
    <row r="25" spans="5:38" s="125" customFormat="1" ht="12.75">
      <c r="E25" s="191"/>
      <c r="F25" s="232" t="str">
        <f>'WJ III ACH'!B20</f>
        <v>Oral Expression </v>
      </c>
      <c r="G25" s="232">
        <f>IF('WJ III ACH'!C20="","",'WJ III ACH'!C20)</f>
        <v>102</v>
      </c>
      <c r="H25" s="233">
        <f t="shared" si="2"/>
        <v>5</v>
      </c>
      <c r="I25" s="232">
        <f>IF(H24=7,F24,"")&amp;IF(H25=7,F25,"")&amp;IF(H26=7,F26,"")&amp;IF(H27=7,F27,"")&amp;IF(H28=7,F28,"")&amp;IF(H29=7,F29,"")&amp;IF(H30=7,F30,"")&amp;IF(H31=7,F31,"")&amp;IF(H32=7,F32,"")&amp;IF(H33=7,F33,"")&amp;IF(H34=7,F34,"")&amp;IF(H35=7,F35,"")</f>
      </c>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row>
    <row r="26" spans="5:38" s="125" customFormat="1" ht="12.75">
      <c r="E26" s="191"/>
      <c r="F26" s="232" t="str">
        <f>'WJ III ACH'!B21</f>
        <v>Listening Comprehension </v>
      </c>
      <c r="G26" s="232">
        <f>IF('WJ III ACH'!C21="","",'WJ III ACH'!C21)</f>
      </c>
      <c r="H26" s="233">
        <f t="shared" si="2"/>
      </c>
      <c r="I26" s="232">
        <f>IF(H24=6,F24,"")&amp;IF(H25=6,F25,"")&amp;IF(H26=6,F26,"")&amp;IF(H27=6,F27,"")&amp;IF(H28=6,F28,"")&amp;IF(H29=6,F29,"")&amp;IF(H30=6,F30,"")&amp;IF(H31=6,F31,"")&amp;IF(H32=6,F32,"")&amp;IF(H33=6,F33,"")&amp;IF(H34=6,F34,"")&amp;IF(H35=6,F35,"")</f>
      </c>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row>
    <row r="27" spans="5:38" s="125" customFormat="1" ht="12.75">
      <c r="E27" s="191"/>
      <c r="F27" s="232" t="str">
        <f>'WJ III ACH'!B30</f>
        <v>Reading Comprehension </v>
      </c>
      <c r="G27" s="232">
        <f>IF('WJ III ACH'!C22="","",'WJ III ACH'!C22)</f>
      </c>
      <c r="H27" s="233">
        <f t="shared" si="2"/>
      </c>
      <c r="I27" s="232" t="str">
        <f>IF(H24=5,F24,"")&amp;IF(H25=5,F25,"")&amp;IF(H26=5,F26,"")&amp;IF(H27=5,F27,"")&amp;IF(H28=5,F28,"")&amp;IF(H29=5,F29,"")&amp;IF(H30=5,F30,"")&amp;IF(H31=5,F31,"")&amp;IF(H32=5,F32,"")&amp;IF(H33=5,F33,"")&amp;IF(H34=5,F34,"")&amp;IF(H35=5,F35,"")</f>
        <v>Math Reasoning Oral Expression Math Calculations Skills Academic Applications Basic Writing Skills Academic Skills </v>
      </c>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row>
    <row r="28" spans="5:38" s="125" customFormat="1" ht="12.75">
      <c r="E28" s="191"/>
      <c r="F28" s="232" t="str">
        <f>'WJ III ACH'!B31</f>
        <v>Math Calculations Skills </v>
      </c>
      <c r="G28" s="232">
        <f>IF('WJ III ACH'!C31="","",'WJ III ACH'!C31)</f>
        <v>92</v>
      </c>
      <c r="H28" s="233">
        <f t="shared" si="2"/>
        <v>5</v>
      </c>
      <c r="I28" s="232" t="str">
        <f>IF(H24=4,F24,"")&amp;IF(H25=4,F25,"")&amp;IF(H26=4,F26,"")&amp;IF(H27=4,F27,"")&amp;IF(H28=4,F28,"")&amp;IF(H29=4,F29,"")&amp;IF(H30=4,F30,"")&amp;IF(H31=4,F31,"")&amp;IF(H32=4,F32,"")&amp;IF(H33=4,F33,"")&amp;IF(H34=4,F34,"")&amp;IF(H35=4,F35,"")</f>
        <v>Written Expression Academic Fluency Basic Reading Skills Phoneme/Grapheme Knowledge </v>
      </c>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row>
    <row r="29" spans="5:38" s="125" customFormat="1" ht="12.75">
      <c r="E29" s="191"/>
      <c r="F29" s="232" t="str">
        <f>'WJ III ACH'!B34</f>
        <v>Written Expression </v>
      </c>
      <c r="G29" s="232">
        <f>IF('WJ III ACH'!C34="","",'WJ III ACH'!C34)</f>
        <v>89</v>
      </c>
      <c r="H29" s="233">
        <f t="shared" si="2"/>
        <v>4</v>
      </c>
      <c r="I29" s="232">
        <f>IF(H24=3,F24,"")&amp;IF(H25=3,F25,"")&amp;IF(H26=3,F26,"")&amp;IF(H27=3,F27,"")&amp;IF(H28=3,F28,"")&amp;IF(H29=3,F29,"")&amp;IF(H30=3,F30,"")&amp;IF(H31=3,F31,"")&amp;IF(H32=3,F32,"")&amp;IF(H33=3,F33,"")&amp;IF(H34=3,F34,"")&amp;IF(H35=3,F35,"")</f>
      </c>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row>
    <row r="30" spans="5:38" s="125" customFormat="1" ht="12.75">
      <c r="E30" s="191"/>
      <c r="F30" s="232" t="str">
        <f>'WJ III ACH'!B37</f>
        <v>Academic Fluency </v>
      </c>
      <c r="G30" s="232">
        <f>IF('WJ III ACH'!C37="","",'WJ III ACH'!C37)</f>
        <v>82</v>
      </c>
      <c r="H30" s="233">
        <f t="shared" si="2"/>
        <v>4</v>
      </c>
      <c r="I30" s="232">
        <f>IF(H24=2,F24,"")&amp;IF(H25=2,F25,"")&amp;IF(H26=2,F26,"")&amp;IF(H27=2,F27,"")&amp;IF(H28=2,F28,"")&amp;IF(H29=2,F29,"")&amp;IF(H30=2,F30,"")&amp;IF(H31=2,F31,"")&amp;IF(H32=2,F32,"")&amp;IF(H33=2,F33,"")&amp;IF(H34=2,F34,"")&amp;IF(H35=2,F35,"")</f>
      </c>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row>
    <row r="31" spans="5:38" s="125" customFormat="1" ht="12.75">
      <c r="E31" s="191"/>
      <c r="F31" s="232" t="str">
        <f>'WJ III ACH'!B38</f>
        <v>Academic Applications </v>
      </c>
      <c r="G31" s="232">
        <f>IF('WJ III ACH'!C38="","",'WJ III ACH'!C38)</f>
        <v>96</v>
      </c>
      <c r="H31" s="233">
        <f t="shared" si="2"/>
        <v>5</v>
      </c>
      <c r="I31" s="232">
        <f>IF(H24=1,F24,"")&amp;IF(H25=1,F25,"")&amp;IF(H26=1,F26,"")&amp;IF(H27=1,F27,"")&amp;IF(H28=1,F28,"")&amp;IF(H29=1,F29,"")&amp;IF(H30=1,F30,"")&amp;IF(H31=1,F31,"")&amp;IF(H32=1,F32,"")&amp;IF(H33=1,F33,"")&amp;IF(H34=1,F34,"")&amp;IF(H35=1,F35,"")</f>
      </c>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row>
    <row r="32" spans="5:38" s="125" customFormat="1" ht="12.75">
      <c r="E32" s="191"/>
      <c r="F32" s="232" t="str">
        <f>'WJ III ACH'!B29</f>
        <v>Basic Reading Skills </v>
      </c>
      <c r="G32" s="232">
        <f>IF('WJ III ACH'!C29="","",'WJ III ACH'!C29)</f>
        <v>89</v>
      </c>
      <c r="H32" s="233">
        <f t="shared" si="2"/>
        <v>4</v>
      </c>
      <c r="I32" s="232"/>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row>
    <row r="33" spans="5:38" s="125" customFormat="1" ht="12.75">
      <c r="E33" s="191"/>
      <c r="F33" s="232" t="str">
        <f>'WJ III ACH'!B33</f>
        <v>Basic Writing Skills </v>
      </c>
      <c r="G33" s="232">
        <f>IF('WJ III ACH'!C33="","",'WJ III ACH'!C33)</f>
        <v>104</v>
      </c>
      <c r="H33" s="233">
        <f t="shared" si="2"/>
        <v>5</v>
      </c>
      <c r="I33" s="232"/>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row>
    <row r="34" spans="5:38" s="125" customFormat="1" ht="12.75">
      <c r="E34" s="191"/>
      <c r="F34" s="232" t="str">
        <f>'WJ III ACH'!B40</f>
        <v>Phoneme/Grapheme Knowledge </v>
      </c>
      <c r="G34" s="232">
        <f>IF('WJ III ACH'!C40="","",'WJ III ACH'!C40)</f>
        <v>87</v>
      </c>
      <c r="H34" s="233">
        <f t="shared" si="2"/>
        <v>4</v>
      </c>
      <c r="I34" s="232"/>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row>
    <row r="35" spans="5:38" s="125" customFormat="1" ht="12.75">
      <c r="E35" s="191"/>
      <c r="F35" s="232" t="str">
        <f>'WJ III ACH'!B36</f>
        <v>Academic Skills </v>
      </c>
      <c r="G35" s="232">
        <f>IF('WJ III ACH'!C36="","",'WJ III ACH'!C36)</f>
        <v>90</v>
      </c>
      <c r="H35" s="233">
        <f t="shared" si="2"/>
        <v>5</v>
      </c>
      <c r="I35" s="232"/>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row>
    <row r="36" spans="5:38" s="125" customFormat="1" ht="12.75">
      <c r="E36" s="191"/>
      <c r="F36" s="232"/>
      <c r="G36" s="232"/>
      <c r="H36" s="232"/>
      <c r="I36" s="232"/>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row>
    <row r="37" spans="5:38" s="125" customFormat="1" ht="12.75">
      <c r="E37" s="191"/>
      <c r="F37" s="232"/>
      <c r="G37" s="232"/>
      <c r="H37" s="232"/>
      <c r="I37" s="232"/>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row>
    <row r="38" spans="5:38" s="125" customFormat="1" ht="12.75">
      <c r="E38" s="139"/>
      <c r="F38" s="232"/>
      <c r="G38" s="232"/>
      <c r="H38" s="232"/>
      <c r="I38" s="232"/>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row>
    <row r="39" spans="5:38" s="125" customFormat="1" ht="12.75">
      <c r="E39" s="139"/>
      <c r="F39" s="232"/>
      <c r="G39" s="232"/>
      <c r="H39" s="232"/>
      <c r="I39" s="232"/>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row>
    <row r="40" spans="5:38" s="125" customFormat="1" ht="12.75">
      <c r="E40" s="139"/>
      <c r="F40" s="232"/>
      <c r="G40" s="232"/>
      <c r="H40" s="232"/>
      <c r="I40" s="232"/>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row>
    <row r="41" spans="5:38" s="125" customFormat="1" ht="12.75">
      <c r="E41" s="139"/>
      <c r="F41" s="232"/>
      <c r="G41" s="232"/>
      <c r="H41" s="232">
        <v>54</v>
      </c>
      <c r="I41" s="232">
        <v>55</v>
      </c>
      <c r="J41" s="231">
        <v>70</v>
      </c>
      <c r="K41" s="231">
        <v>80</v>
      </c>
      <c r="L41" s="231">
        <v>90</v>
      </c>
      <c r="M41" s="231">
        <v>111</v>
      </c>
      <c r="N41" s="231">
        <v>121</v>
      </c>
      <c r="O41" s="231">
        <v>131</v>
      </c>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row>
    <row r="42" spans="5:38" s="125" customFormat="1" ht="12.75">
      <c r="E42" s="139"/>
      <c r="F42" s="232"/>
      <c r="G42" s="232"/>
      <c r="H42" s="232">
        <v>1</v>
      </c>
      <c r="I42" s="232">
        <v>2</v>
      </c>
      <c r="J42" s="231">
        <v>3</v>
      </c>
      <c r="K42" s="231">
        <v>4</v>
      </c>
      <c r="L42" s="231">
        <v>5</v>
      </c>
      <c r="M42" s="231">
        <v>6</v>
      </c>
      <c r="N42" s="231">
        <v>7</v>
      </c>
      <c r="O42" s="231">
        <v>8</v>
      </c>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row>
    <row r="43" spans="5:38" s="125" customFormat="1" ht="12.75">
      <c r="E43" s="139"/>
      <c r="F43" s="232"/>
      <c r="G43" s="232"/>
      <c r="H43" s="232"/>
      <c r="I43" s="232"/>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row>
    <row r="44" spans="6:38" s="125" customFormat="1" ht="12.75">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row>
    <row r="45" spans="6:38" s="125" customFormat="1" ht="12.75">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row>
    <row r="46" spans="6:38" s="125" customFormat="1" ht="12.75">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row>
    <row r="47" spans="6:38" s="125" customFormat="1" ht="12.75">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row>
    <row r="48" spans="6:38" s="125" customFormat="1" ht="12.75">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row>
    <row r="49" spans="6:38" s="125" customFormat="1" ht="12.75">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row>
    <row r="50" spans="6:38" s="125" customFormat="1" ht="12.75">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row>
    <row r="51" spans="6:38" s="125" customFormat="1" ht="12.75">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row>
    <row r="52" spans="6:38" s="125" customFormat="1" ht="12.75">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row>
    <row r="53" spans="6:38" s="125" customFormat="1" ht="12.75">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row>
    <row r="54" spans="6:38" s="125" customFormat="1" ht="12.75">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row>
    <row r="55" spans="6:38" s="125" customFormat="1" ht="12.75">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row>
    <row r="56" spans="6:38" s="125" customFormat="1" ht="12.75">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row>
    <row r="57" spans="6:38" s="125" customFormat="1" ht="12.75">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row>
    <row r="58" spans="6:38" s="125" customFormat="1" ht="12.75">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row>
    <row r="59" spans="6:38" s="125" customFormat="1" ht="12.75">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row>
    <row r="60" spans="6:38" s="125" customFormat="1" ht="12.75">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row>
    <row r="61" spans="6:38" s="125" customFormat="1" ht="12.75">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row>
    <row r="62" spans="6:38" s="125" customFormat="1" ht="12.75">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row>
    <row r="63" spans="6:38" s="125" customFormat="1" ht="12.75">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row>
    <row r="64" spans="6:38" s="125" customFormat="1" ht="12.75">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row>
    <row r="65" spans="6:38" s="125" customFormat="1" ht="12.75">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row>
    <row r="66" spans="6:38" s="125" customFormat="1" ht="12.75">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row>
    <row r="67" spans="6:38" s="125" customFormat="1" ht="12.75">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row>
    <row r="68" spans="6:38" s="125" customFormat="1" ht="12.75">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row>
    <row r="69" spans="6:38" s="125" customFormat="1" ht="12.75">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row>
    <row r="70" spans="6:38" s="125" customFormat="1" ht="12.75">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row>
    <row r="71" spans="6:38" s="125" customFormat="1" ht="12.75">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row>
    <row r="72" spans="6:38" s="125" customFormat="1" ht="12.75">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row>
    <row r="73" spans="6:38" s="125" customFormat="1" ht="12.75">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row>
    <row r="74" spans="6:38" s="125" customFormat="1" ht="12.75">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row>
    <row r="75" spans="6:38" s="125" customFormat="1" ht="12.75">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row>
    <row r="76" spans="6:38" s="125" customFormat="1" ht="12.75">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row>
    <row r="77" spans="6:38" s="125" customFormat="1" ht="12.75">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row>
    <row r="78" spans="6:38" s="125" customFormat="1" ht="12.75">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row>
    <row r="79" spans="6:38" s="125" customFormat="1" ht="12.75">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row>
    <row r="80" spans="6:38" s="125" customFormat="1" ht="12.75">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row>
    <row r="81" spans="6:38" s="125" customFormat="1" ht="12.75">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row>
    <row r="82" spans="6:38" s="125" customFormat="1" ht="12.75">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row>
    <row r="83" spans="6:38" s="125" customFormat="1" ht="12.75">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row>
    <row r="84" spans="6:38" s="125" customFormat="1" ht="12.75">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row>
    <row r="85" spans="6:38" s="125" customFormat="1" ht="12.75">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row>
    <row r="86" spans="6:38" s="125" customFormat="1" ht="12.75">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row>
    <row r="87" spans="6:38" s="125" customFormat="1" ht="12.75">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row>
    <row r="88" spans="6:38" s="125" customFormat="1" ht="12.75">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row>
    <row r="89" spans="6:38" s="125" customFormat="1" ht="12.75">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row>
    <row r="90" spans="6:38" s="125" customFormat="1" ht="12.75">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row>
    <row r="91" spans="6:38" s="125" customFormat="1" ht="12.75">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row>
    <row r="92" spans="6:38" s="125" customFormat="1" ht="12.75">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row>
    <row r="93" spans="6:38" s="125" customFormat="1" ht="12.75">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row>
    <row r="94" spans="6:38" s="125" customFormat="1" ht="12.75">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row>
    <row r="95" spans="6:38" s="125" customFormat="1" ht="12.75">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row>
    <row r="96" spans="6:38" s="125" customFormat="1" ht="12.75">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row>
    <row r="97" spans="6:38" s="125" customFormat="1" ht="12.75">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row>
    <row r="98" spans="6:38" s="125" customFormat="1" ht="12.75">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row>
    <row r="99" spans="6:38" s="125" customFormat="1" ht="12.75">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row>
    <row r="100" spans="6:38" s="125" customFormat="1" ht="12.75">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row>
    <row r="101" spans="6:38" s="125" customFormat="1" ht="12.75">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row>
    <row r="102" spans="6:38" s="125" customFormat="1" ht="12.75">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row>
    <row r="103" spans="6:38" s="125" customFormat="1" ht="12.75">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row>
    <row r="104" spans="6:38" s="125" customFormat="1" ht="12.75">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row>
    <row r="105" spans="6:38" s="125" customFormat="1" ht="12.75">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row>
    <row r="106" spans="6:38" s="125" customFormat="1" ht="12.75">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row>
    <row r="107" spans="6:38" s="125" customFormat="1" ht="12.75">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row>
    <row r="108" spans="6:38" s="125" customFormat="1" ht="12.75">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row>
    <row r="109" spans="6:38" s="125" customFormat="1" ht="12.75">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row>
    <row r="110" spans="6:38" s="125" customFormat="1" ht="12.75">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row>
    <row r="111" spans="6:38" s="125" customFormat="1" ht="12.75">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row>
    <row r="112" spans="6:38" s="125" customFormat="1" ht="12.75">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row>
    <row r="113" spans="6:38" s="125" customFormat="1" ht="12.75">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row>
    <row r="114" spans="6:38" s="125" customFormat="1" ht="12.75">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row>
    <row r="115" spans="6:38" s="125" customFormat="1" ht="12.75">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row>
    <row r="116" spans="6:38" s="125" customFormat="1" ht="12.75">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row>
    <row r="117" spans="6:38" s="125" customFormat="1" ht="12.75">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row>
    <row r="118" spans="6:38" s="125" customFormat="1" ht="12.75">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row>
    <row r="119" spans="6:38" s="125" customFormat="1" ht="12.75">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row>
    <row r="120" spans="6:38" s="125" customFormat="1" ht="12.75">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row>
    <row r="121" spans="6:38" s="125" customFormat="1" ht="12.75">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row>
    <row r="122" spans="6:38" s="125" customFormat="1" ht="12.75">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row>
    <row r="123" spans="6:38" s="125" customFormat="1" ht="12.75">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row>
    <row r="124" spans="6:38" s="125" customFormat="1" ht="12.75">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row>
    <row r="125" spans="6:38" s="125" customFormat="1" ht="12.75">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row>
    <row r="126" spans="6:38" s="125" customFormat="1" ht="12.75">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row>
    <row r="127" spans="6:38" s="125" customFormat="1" ht="12.75">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row>
    <row r="128" spans="6:38" s="125" customFormat="1" ht="12.75">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231"/>
      <c r="AL128" s="231"/>
    </row>
    <row r="129" spans="6:38" s="125" customFormat="1" ht="12.75">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row>
    <row r="130" spans="6:38" s="125" customFormat="1" ht="12.75">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row>
    <row r="131" spans="6:38" s="125" customFormat="1" ht="12.75">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row>
    <row r="132" spans="6:38" s="125" customFormat="1" ht="12.75">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row>
    <row r="133" spans="6:38" s="125" customFormat="1" ht="12.75">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row>
    <row r="134" spans="6:38" s="125" customFormat="1" ht="12.75">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row>
    <row r="135" spans="6:38" s="125" customFormat="1" ht="12.75">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231"/>
      <c r="AL135" s="231"/>
    </row>
    <row r="136" spans="6:38" s="125" customFormat="1" ht="12.75">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c r="AH136" s="231"/>
      <c r="AI136" s="231"/>
      <c r="AJ136" s="231"/>
      <c r="AK136" s="231"/>
      <c r="AL136" s="231"/>
    </row>
    <row r="137" spans="6:38" s="125" customFormat="1" ht="12.75">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c r="AH137" s="231"/>
      <c r="AI137" s="231"/>
      <c r="AJ137" s="231"/>
      <c r="AK137" s="231"/>
      <c r="AL137" s="231"/>
    </row>
    <row r="138" spans="6:38" s="125" customFormat="1" ht="12.75">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1"/>
      <c r="AL138" s="231"/>
    </row>
    <row r="139" spans="6:38" s="125" customFormat="1" ht="12.75">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row>
    <row r="140" spans="6:38" s="125" customFormat="1" ht="12.75">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row>
    <row r="141" spans="6:38" s="125" customFormat="1" ht="12.75">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row>
    <row r="142" spans="6:38" s="125" customFormat="1" ht="12.75">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231"/>
    </row>
    <row r="143" spans="6:38" s="125" customFormat="1" ht="12.75">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c r="AJ143" s="231"/>
      <c r="AK143" s="231"/>
      <c r="AL143" s="231"/>
    </row>
    <row r="144" spans="6:38" s="125" customFormat="1" ht="12.75">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row>
    <row r="145" spans="6:38" s="125" customFormat="1" ht="12.75">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row>
    <row r="146" spans="6:38" s="125" customFormat="1" ht="12.75">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row>
    <row r="147" spans="6:38" s="125" customFormat="1" ht="12.75">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row>
    <row r="148" spans="6:38" s="125" customFormat="1" ht="12.75">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row>
    <row r="149" spans="6:38" s="125" customFormat="1" ht="12.75">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c r="AL149" s="231"/>
    </row>
    <row r="150" spans="6:38" s="125" customFormat="1" ht="12.75">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row>
    <row r="151" spans="6:38" s="125" customFormat="1" ht="12.75">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row>
    <row r="152" spans="6:38" s="125" customFormat="1" ht="12.75">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c r="AH152" s="231"/>
      <c r="AI152" s="231"/>
      <c r="AJ152" s="231"/>
      <c r="AK152" s="231"/>
      <c r="AL152" s="231"/>
    </row>
    <row r="153" spans="6:38" s="125" customFormat="1" ht="12.75">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c r="AH153" s="231"/>
      <c r="AI153" s="231"/>
      <c r="AJ153" s="231"/>
      <c r="AK153" s="231"/>
      <c r="AL153" s="231"/>
    </row>
    <row r="154" spans="6:38" s="125" customFormat="1" ht="12.75">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1"/>
      <c r="AL154" s="231"/>
    </row>
    <row r="155" spans="6:38" s="125" customFormat="1" ht="12.75">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c r="AH155" s="231"/>
      <c r="AI155" s="231"/>
      <c r="AJ155" s="231"/>
      <c r="AK155" s="231"/>
      <c r="AL155" s="231"/>
    </row>
    <row r="156" spans="6:38" s="125" customFormat="1" ht="12.75">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row>
    <row r="157" spans="6:38" s="125" customFormat="1" ht="12.75">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row>
    <row r="158" spans="6:38" s="125" customFormat="1" ht="12.75">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row>
    <row r="159" spans="6:38" s="125" customFormat="1" ht="12.75">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c r="AH159" s="231"/>
      <c r="AI159" s="231"/>
      <c r="AJ159" s="231"/>
      <c r="AK159" s="231"/>
      <c r="AL159" s="231"/>
    </row>
    <row r="160" spans="6:38" s="125" customFormat="1" ht="12.75">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c r="AH160" s="231"/>
      <c r="AI160" s="231"/>
      <c r="AJ160" s="231"/>
      <c r="AK160" s="231"/>
      <c r="AL160" s="231"/>
    </row>
    <row r="161" spans="6:38" s="125" customFormat="1" ht="12.75">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c r="AE161" s="231"/>
      <c r="AF161" s="231"/>
      <c r="AG161" s="231"/>
      <c r="AH161" s="231"/>
      <c r="AI161" s="231"/>
      <c r="AJ161" s="231"/>
      <c r="AK161" s="231"/>
      <c r="AL161" s="231"/>
    </row>
    <row r="162" spans="6:38" s="125" customFormat="1" ht="12.75">
      <c r="F162" s="231"/>
      <c r="G162" s="231"/>
      <c r="H162" s="231"/>
      <c r="I162" s="231"/>
      <c r="J162" s="231"/>
      <c r="K162" s="231"/>
      <c r="L162" s="231"/>
      <c r="M162" s="231"/>
      <c r="N162" s="231"/>
      <c r="O162" s="231"/>
      <c r="P162" s="231"/>
      <c r="Q162" s="231"/>
      <c r="R162" s="231"/>
      <c r="S162" s="231"/>
      <c r="T162" s="231"/>
      <c r="U162" s="231"/>
      <c r="V162" s="231"/>
      <c r="W162" s="231"/>
      <c r="X162" s="231"/>
      <c r="Y162" s="231"/>
      <c r="Z162" s="231"/>
      <c r="AA162" s="231"/>
      <c r="AB162" s="231"/>
      <c r="AC162" s="231"/>
      <c r="AD162" s="231"/>
      <c r="AE162" s="231"/>
      <c r="AF162" s="231"/>
      <c r="AG162" s="231"/>
      <c r="AH162" s="231"/>
      <c r="AI162" s="231"/>
      <c r="AJ162" s="231"/>
      <c r="AK162" s="231"/>
      <c r="AL162" s="231"/>
    </row>
    <row r="163" spans="6:38" s="125" customFormat="1" ht="12.75">
      <c r="F163" s="231"/>
      <c r="G163" s="231"/>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231"/>
      <c r="AK163" s="231"/>
      <c r="AL163" s="231"/>
    </row>
    <row r="164" spans="6:38" s="125" customFormat="1" ht="12.75">
      <c r="F164" s="231"/>
      <c r="G164" s="231"/>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231"/>
      <c r="AL164" s="231"/>
    </row>
    <row r="165" spans="6:38" s="125" customFormat="1" ht="12.75">
      <c r="F165" s="231"/>
      <c r="G165" s="231"/>
      <c r="H165" s="231"/>
      <c r="I165" s="231"/>
      <c r="J165" s="231"/>
      <c r="K165" s="231"/>
      <c r="L165" s="231"/>
      <c r="M165" s="231"/>
      <c r="N165" s="231"/>
      <c r="O165" s="231"/>
      <c r="P165" s="231"/>
      <c r="Q165" s="231"/>
      <c r="R165" s="231"/>
      <c r="S165" s="231"/>
      <c r="T165" s="231"/>
      <c r="U165" s="231"/>
      <c r="V165" s="231"/>
      <c r="W165" s="231"/>
      <c r="X165" s="231"/>
      <c r="Y165" s="231"/>
      <c r="Z165" s="231"/>
      <c r="AA165" s="231"/>
      <c r="AB165" s="231"/>
      <c r="AC165" s="231"/>
      <c r="AD165" s="231"/>
      <c r="AE165" s="231"/>
      <c r="AF165" s="231"/>
      <c r="AG165" s="231"/>
      <c r="AH165" s="231"/>
      <c r="AI165" s="231"/>
      <c r="AJ165" s="231"/>
      <c r="AK165" s="231"/>
      <c r="AL165" s="231"/>
    </row>
    <row r="166" spans="6:38" s="125" customFormat="1" ht="12.75">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row>
    <row r="167" spans="6:38" s="125" customFormat="1" ht="12.75">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row>
    <row r="168" spans="6:38" s="125" customFormat="1" ht="12.75">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row>
    <row r="169" spans="6:38" s="125" customFormat="1" ht="12.75">
      <c r="F169" s="231"/>
      <c r="G169" s="231"/>
      <c r="H169" s="231"/>
      <c r="I169" s="231"/>
      <c r="J169" s="231"/>
      <c r="K169" s="231"/>
      <c r="L169" s="231"/>
      <c r="M169" s="231"/>
      <c r="N169" s="231"/>
      <c r="O169" s="231"/>
      <c r="P169" s="231"/>
      <c r="Q169" s="231"/>
      <c r="R169" s="231"/>
      <c r="S169" s="231"/>
      <c r="T169" s="231"/>
      <c r="U169" s="231"/>
      <c r="V169" s="231"/>
      <c r="W169" s="231"/>
      <c r="X169" s="231"/>
      <c r="Y169" s="231"/>
      <c r="Z169" s="231"/>
      <c r="AA169" s="231"/>
      <c r="AB169" s="231"/>
      <c r="AC169" s="231"/>
      <c r="AD169" s="231"/>
      <c r="AE169" s="231"/>
      <c r="AF169" s="231"/>
      <c r="AG169" s="231"/>
      <c r="AH169" s="231"/>
      <c r="AI169" s="231"/>
      <c r="AJ169" s="231"/>
      <c r="AK169" s="231"/>
      <c r="AL169" s="231"/>
    </row>
    <row r="170" spans="6:38" s="125" customFormat="1" ht="12.75">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c r="AI170" s="231"/>
      <c r="AJ170" s="231"/>
      <c r="AK170" s="231"/>
      <c r="AL170" s="231"/>
    </row>
    <row r="171" spans="6:38" s="125" customFormat="1" ht="12.75">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31"/>
      <c r="AD171" s="231"/>
      <c r="AE171" s="231"/>
      <c r="AF171" s="231"/>
      <c r="AG171" s="231"/>
      <c r="AH171" s="231"/>
      <c r="AI171" s="231"/>
      <c r="AJ171" s="231"/>
      <c r="AK171" s="231"/>
      <c r="AL171" s="231"/>
    </row>
    <row r="172" spans="6:38" s="125" customFormat="1" ht="12.75">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231"/>
      <c r="AJ172" s="231"/>
      <c r="AK172" s="231"/>
      <c r="AL172" s="231"/>
    </row>
    <row r="173" spans="6:38" s="125" customFormat="1" ht="12.75">
      <c r="F173" s="231"/>
      <c r="G173" s="231"/>
      <c r="H173" s="231"/>
      <c r="I173" s="231"/>
      <c r="J173" s="231"/>
      <c r="K173" s="231"/>
      <c r="L173" s="231"/>
      <c r="M173" s="231"/>
      <c r="N173" s="231"/>
      <c r="O173" s="231"/>
      <c r="P173" s="231"/>
      <c r="Q173" s="231"/>
      <c r="R173" s="231"/>
      <c r="S173" s="231"/>
      <c r="T173" s="231"/>
      <c r="U173" s="231"/>
      <c r="V173" s="231"/>
      <c r="W173" s="231"/>
      <c r="X173" s="231"/>
      <c r="Y173" s="231"/>
      <c r="Z173" s="231"/>
      <c r="AA173" s="231"/>
      <c r="AB173" s="231"/>
      <c r="AC173" s="231"/>
      <c r="AD173" s="231"/>
      <c r="AE173" s="231"/>
      <c r="AF173" s="231"/>
      <c r="AG173" s="231"/>
      <c r="AH173" s="231"/>
      <c r="AI173" s="231"/>
      <c r="AJ173" s="231"/>
      <c r="AK173" s="231"/>
      <c r="AL173" s="231"/>
    </row>
    <row r="174" spans="6:38" s="125" customFormat="1" ht="12.75">
      <c r="F174" s="231"/>
      <c r="G174" s="231"/>
      <c r="H174" s="231"/>
      <c r="I174" s="231"/>
      <c r="J174" s="231"/>
      <c r="K174" s="231"/>
      <c r="L174" s="231"/>
      <c r="M174" s="231"/>
      <c r="N174" s="231"/>
      <c r="O174" s="231"/>
      <c r="P174" s="231"/>
      <c r="Q174" s="231"/>
      <c r="R174" s="231"/>
      <c r="S174" s="231"/>
      <c r="T174" s="231"/>
      <c r="U174" s="231"/>
      <c r="V174" s="231"/>
      <c r="W174" s="231"/>
      <c r="X174" s="231"/>
      <c r="Y174" s="231"/>
      <c r="Z174" s="231"/>
      <c r="AA174" s="231"/>
      <c r="AB174" s="231"/>
      <c r="AC174" s="231"/>
      <c r="AD174" s="231"/>
      <c r="AE174" s="231"/>
      <c r="AF174" s="231"/>
      <c r="AG174" s="231"/>
      <c r="AH174" s="231"/>
      <c r="AI174" s="231"/>
      <c r="AJ174" s="231"/>
      <c r="AK174" s="231"/>
      <c r="AL174" s="231"/>
    </row>
    <row r="175" spans="6:38" s="125" customFormat="1" ht="12.75">
      <c r="F175" s="231"/>
      <c r="G175" s="231"/>
      <c r="H175" s="231"/>
      <c r="I175" s="231"/>
      <c r="J175" s="231"/>
      <c r="K175" s="231"/>
      <c r="L175" s="231"/>
      <c r="M175" s="231"/>
      <c r="N175" s="231"/>
      <c r="O175" s="231"/>
      <c r="P175" s="231"/>
      <c r="Q175" s="231"/>
      <c r="R175" s="231"/>
      <c r="S175" s="231"/>
      <c r="T175" s="231"/>
      <c r="U175" s="231"/>
      <c r="V175" s="231"/>
      <c r="W175" s="231"/>
      <c r="X175" s="231"/>
      <c r="Y175" s="231"/>
      <c r="Z175" s="231"/>
      <c r="AA175" s="231"/>
      <c r="AB175" s="231"/>
      <c r="AC175" s="231"/>
      <c r="AD175" s="231"/>
      <c r="AE175" s="231"/>
      <c r="AF175" s="231"/>
      <c r="AG175" s="231"/>
      <c r="AH175" s="231"/>
      <c r="AI175" s="231"/>
      <c r="AJ175" s="231"/>
      <c r="AK175" s="231"/>
      <c r="AL175" s="231"/>
    </row>
    <row r="176" spans="6:38" s="125" customFormat="1" ht="12.75">
      <c r="F176" s="231"/>
      <c r="G176" s="231"/>
      <c r="H176" s="231"/>
      <c r="I176" s="231"/>
      <c r="J176" s="231"/>
      <c r="K176" s="231"/>
      <c r="L176" s="231"/>
      <c r="M176" s="231"/>
      <c r="N176" s="231"/>
      <c r="O176" s="231"/>
      <c r="P176" s="231"/>
      <c r="Q176" s="231"/>
      <c r="R176" s="231"/>
      <c r="S176" s="231"/>
      <c r="T176" s="231"/>
      <c r="U176" s="231"/>
      <c r="V176" s="231"/>
      <c r="W176" s="231"/>
      <c r="X176" s="231"/>
      <c r="Y176" s="231"/>
      <c r="Z176" s="231"/>
      <c r="AA176" s="231"/>
      <c r="AB176" s="231"/>
      <c r="AC176" s="231"/>
      <c r="AD176" s="231"/>
      <c r="AE176" s="231"/>
      <c r="AF176" s="231"/>
      <c r="AG176" s="231"/>
      <c r="AH176" s="231"/>
      <c r="AI176" s="231"/>
      <c r="AJ176" s="231"/>
      <c r="AK176" s="231"/>
      <c r="AL176" s="231"/>
    </row>
    <row r="177" spans="6:38" s="125" customFormat="1" ht="12.75">
      <c r="F177" s="231"/>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row>
    <row r="178" spans="6:38" s="125" customFormat="1" ht="12.75">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c r="AI178" s="231"/>
      <c r="AJ178" s="231"/>
      <c r="AK178" s="231"/>
      <c r="AL178" s="231"/>
    </row>
    <row r="179" spans="6:38" s="125" customFormat="1" ht="12.75">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231"/>
      <c r="AL179" s="231"/>
    </row>
    <row r="180" spans="6:38" s="125" customFormat="1" ht="12.75">
      <c r="F180" s="231"/>
      <c r="G180" s="231"/>
      <c r="H180" s="231"/>
      <c r="I180" s="231"/>
      <c r="J180" s="231"/>
      <c r="K180" s="231"/>
      <c r="L180" s="231"/>
      <c r="M180" s="231"/>
      <c r="N180" s="231"/>
      <c r="O180" s="231"/>
      <c r="P180" s="231"/>
      <c r="Q180" s="231"/>
      <c r="R180" s="231"/>
      <c r="S180" s="231"/>
      <c r="T180" s="231"/>
      <c r="U180" s="231"/>
      <c r="V180" s="231"/>
      <c r="W180" s="231"/>
      <c r="X180" s="231"/>
      <c r="Y180" s="231"/>
      <c r="Z180" s="231"/>
      <c r="AA180" s="231"/>
      <c r="AB180" s="231"/>
      <c r="AC180" s="231"/>
      <c r="AD180" s="231"/>
      <c r="AE180" s="231"/>
      <c r="AF180" s="231"/>
      <c r="AG180" s="231"/>
      <c r="AH180" s="231"/>
      <c r="AI180" s="231"/>
      <c r="AJ180" s="231"/>
      <c r="AK180" s="231"/>
      <c r="AL180" s="231"/>
    </row>
    <row r="181" spans="6:38" s="125" customFormat="1" ht="12.75">
      <c r="F181" s="231"/>
      <c r="G181" s="231"/>
      <c r="H181" s="231"/>
      <c r="I181" s="231"/>
      <c r="J181" s="231"/>
      <c r="K181" s="231"/>
      <c r="L181" s="231"/>
      <c r="M181" s="231"/>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231"/>
      <c r="AK181" s="231"/>
      <c r="AL181" s="231"/>
    </row>
    <row r="182" spans="6:38" s="125" customFormat="1" ht="12.75">
      <c r="F182" s="231"/>
      <c r="G182" s="231"/>
      <c r="H182" s="231"/>
      <c r="I182" s="231"/>
      <c r="J182" s="231"/>
      <c r="K182" s="231"/>
      <c r="L182" s="231"/>
      <c r="M182" s="231"/>
      <c r="N182" s="231"/>
      <c r="O182" s="231"/>
      <c r="P182" s="231"/>
      <c r="Q182" s="231"/>
      <c r="R182" s="231"/>
      <c r="S182" s="231"/>
      <c r="T182" s="231"/>
      <c r="U182" s="231"/>
      <c r="V182" s="231"/>
      <c r="W182" s="231"/>
      <c r="X182" s="231"/>
      <c r="Y182" s="231"/>
      <c r="Z182" s="231"/>
      <c r="AA182" s="231"/>
      <c r="AB182" s="231"/>
      <c r="AC182" s="231"/>
      <c r="AD182" s="231"/>
      <c r="AE182" s="231"/>
      <c r="AF182" s="231"/>
      <c r="AG182" s="231"/>
      <c r="AH182" s="231"/>
      <c r="AI182" s="231"/>
      <c r="AJ182" s="231"/>
      <c r="AK182" s="231"/>
      <c r="AL182" s="231"/>
    </row>
    <row r="183" spans="6:38" s="125" customFormat="1" ht="12.75">
      <c r="F183" s="231"/>
      <c r="G183" s="231"/>
      <c r="H183" s="231"/>
      <c r="I183" s="231"/>
      <c r="J183" s="231"/>
      <c r="K183" s="231"/>
      <c r="L183" s="231"/>
      <c r="M183" s="231"/>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c r="AI183" s="231"/>
      <c r="AJ183" s="231"/>
      <c r="AK183" s="231"/>
      <c r="AL183" s="231"/>
    </row>
    <row r="184" spans="6:38" s="125" customFormat="1" ht="12.75">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c r="AI184" s="231"/>
      <c r="AJ184" s="231"/>
      <c r="AK184" s="231"/>
      <c r="AL184" s="231"/>
    </row>
    <row r="185" spans="6:38" s="125" customFormat="1" ht="12.75">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c r="AI185" s="231"/>
      <c r="AJ185" s="231"/>
      <c r="AK185" s="231"/>
      <c r="AL185" s="231"/>
    </row>
    <row r="186" spans="6:38" s="125" customFormat="1" ht="12.75">
      <c r="F186" s="231"/>
      <c r="G186" s="231"/>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c r="AD186" s="231"/>
      <c r="AE186" s="231"/>
      <c r="AF186" s="231"/>
      <c r="AG186" s="231"/>
      <c r="AH186" s="231"/>
      <c r="AI186" s="231"/>
      <c r="AJ186" s="231"/>
      <c r="AK186" s="231"/>
      <c r="AL186" s="231"/>
    </row>
    <row r="187" spans="6:38" s="125" customFormat="1" ht="12.75">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231"/>
      <c r="AL187" s="231"/>
    </row>
    <row r="188" spans="6:38" s="125" customFormat="1" ht="12.75">
      <c r="F188" s="231"/>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c r="AI188" s="231"/>
      <c r="AJ188" s="231"/>
      <c r="AK188" s="231"/>
      <c r="AL188" s="231"/>
    </row>
    <row r="189" spans="6:38" s="125" customFormat="1" ht="12.7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row>
    <row r="190" spans="6:38" s="125" customFormat="1" ht="12.75">
      <c r="F190" s="231"/>
      <c r="G190" s="231"/>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1"/>
      <c r="AI190" s="231"/>
      <c r="AJ190" s="231"/>
      <c r="AK190" s="231"/>
      <c r="AL190" s="231"/>
    </row>
    <row r="191" spans="6:38" s="125" customFormat="1" ht="12.75">
      <c r="F191" s="231"/>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c r="AD191" s="231"/>
      <c r="AE191" s="231"/>
      <c r="AF191" s="231"/>
      <c r="AG191" s="231"/>
      <c r="AH191" s="231"/>
      <c r="AI191" s="231"/>
      <c r="AJ191" s="231"/>
      <c r="AK191" s="231"/>
      <c r="AL191" s="231"/>
    </row>
    <row r="192" spans="6:38" s="125" customFormat="1" ht="12.75">
      <c r="F192" s="231"/>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31"/>
      <c r="AD192" s="231"/>
      <c r="AE192" s="231"/>
      <c r="AF192" s="231"/>
      <c r="AG192" s="231"/>
      <c r="AH192" s="231"/>
      <c r="AI192" s="231"/>
      <c r="AJ192" s="231"/>
      <c r="AK192" s="231"/>
      <c r="AL192" s="231"/>
    </row>
    <row r="193" spans="6:38" s="125" customFormat="1" ht="12.75">
      <c r="F193" s="231"/>
      <c r="G193" s="231"/>
      <c r="H193" s="231"/>
      <c r="I193" s="231"/>
      <c r="J193" s="231"/>
      <c r="K193" s="231"/>
      <c r="L193" s="231"/>
      <c r="M193" s="231"/>
      <c r="N193" s="231"/>
      <c r="O193" s="231"/>
      <c r="P193" s="231"/>
      <c r="Q193" s="231"/>
      <c r="R193" s="231"/>
      <c r="S193" s="231"/>
      <c r="T193" s="231"/>
      <c r="U193" s="231"/>
      <c r="V193" s="231"/>
      <c r="W193" s="231"/>
      <c r="X193" s="231"/>
      <c r="Y193" s="231"/>
      <c r="Z193" s="231"/>
      <c r="AA193" s="231"/>
      <c r="AB193" s="231"/>
      <c r="AC193" s="231"/>
      <c r="AD193" s="231"/>
      <c r="AE193" s="231"/>
      <c r="AF193" s="231"/>
      <c r="AG193" s="231"/>
      <c r="AH193" s="231"/>
      <c r="AI193" s="231"/>
      <c r="AJ193" s="231"/>
      <c r="AK193" s="231"/>
      <c r="AL193" s="231"/>
    </row>
    <row r="194" spans="6:38" s="125" customFormat="1" ht="12.75">
      <c r="F194" s="231"/>
      <c r="G194" s="231"/>
      <c r="H194" s="231"/>
      <c r="I194" s="231"/>
      <c r="J194" s="231"/>
      <c r="K194" s="231"/>
      <c r="L194" s="231"/>
      <c r="M194" s="231"/>
      <c r="N194" s="231"/>
      <c r="O194" s="231"/>
      <c r="P194" s="231"/>
      <c r="Q194" s="231"/>
      <c r="R194" s="231"/>
      <c r="S194" s="231"/>
      <c r="T194" s="231"/>
      <c r="U194" s="231"/>
      <c r="V194" s="231"/>
      <c r="W194" s="231"/>
      <c r="X194" s="231"/>
      <c r="Y194" s="231"/>
      <c r="Z194" s="231"/>
      <c r="AA194" s="231"/>
      <c r="AB194" s="231"/>
      <c r="AC194" s="231"/>
      <c r="AD194" s="231"/>
      <c r="AE194" s="231"/>
      <c r="AF194" s="231"/>
      <c r="AG194" s="231"/>
      <c r="AH194" s="231"/>
      <c r="AI194" s="231"/>
      <c r="AJ194" s="231"/>
      <c r="AK194" s="231"/>
      <c r="AL194" s="231"/>
    </row>
    <row r="195" spans="6:38" s="125" customFormat="1" ht="12.75">
      <c r="F195" s="231"/>
      <c r="G195" s="231"/>
      <c r="H195" s="231"/>
      <c r="I195" s="231"/>
      <c r="J195" s="231"/>
      <c r="K195" s="231"/>
      <c r="L195" s="231"/>
      <c r="M195" s="231"/>
      <c r="N195" s="231"/>
      <c r="O195" s="231"/>
      <c r="P195" s="231"/>
      <c r="Q195" s="231"/>
      <c r="R195" s="231"/>
      <c r="S195" s="231"/>
      <c r="T195" s="231"/>
      <c r="U195" s="231"/>
      <c r="V195" s="231"/>
      <c r="W195" s="231"/>
      <c r="X195" s="231"/>
      <c r="Y195" s="231"/>
      <c r="Z195" s="231"/>
      <c r="AA195" s="231"/>
      <c r="AB195" s="231"/>
      <c r="AC195" s="231"/>
      <c r="AD195" s="231"/>
      <c r="AE195" s="231"/>
      <c r="AF195" s="231"/>
      <c r="AG195" s="231"/>
      <c r="AH195" s="231"/>
      <c r="AI195" s="231"/>
      <c r="AJ195" s="231"/>
      <c r="AK195" s="231"/>
      <c r="AL195" s="231"/>
    </row>
    <row r="196" spans="6:38" s="125" customFormat="1" ht="12.75">
      <c r="F196" s="231"/>
      <c r="G196" s="231"/>
      <c r="H196" s="231"/>
      <c r="I196" s="231"/>
      <c r="J196" s="231"/>
      <c r="K196" s="231"/>
      <c r="L196" s="231"/>
      <c r="M196" s="231"/>
      <c r="N196" s="231"/>
      <c r="O196" s="231"/>
      <c r="P196" s="231"/>
      <c r="Q196" s="231"/>
      <c r="R196" s="231"/>
      <c r="S196" s="231"/>
      <c r="T196" s="231"/>
      <c r="U196" s="231"/>
      <c r="V196" s="231"/>
      <c r="W196" s="231"/>
      <c r="X196" s="231"/>
      <c r="Y196" s="231"/>
      <c r="Z196" s="231"/>
      <c r="AA196" s="231"/>
      <c r="AB196" s="231"/>
      <c r="AC196" s="231"/>
      <c r="AD196" s="231"/>
      <c r="AE196" s="231"/>
      <c r="AF196" s="231"/>
      <c r="AG196" s="231"/>
      <c r="AH196" s="231"/>
      <c r="AI196" s="231"/>
      <c r="AJ196" s="231"/>
      <c r="AK196" s="231"/>
      <c r="AL196" s="231"/>
    </row>
    <row r="197" spans="6:38" s="125" customFormat="1" ht="12.75">
      <c r="F197" s="231"/>
      <c r="G197" s="231"/>
      <c r="H197" s="231"/>
      <c r="I197" s="231"/>
      <c r="J197" s="231"/>
      <c r="K197" s="231"/>
      <c r="L197" s="231"/>
      <c r="M197" s="231"/>
      <c r="N197" s="231"/>
      <c r="O197" s="231"/>
      <c r="P197" s="231"/>
      <c r="Q197" s="231"/>
      <c r="R197" s="231"/>
      <c r="S197" s="231"/>
      <c r="T197" s="231"/>
      <c r="U197" s="231"/>
      <c r="V197" s="231"/>
      <c r="W197" s="231"/>
      <c r="X197" s="231"/>
      <c r="Y197" s="231"/>
      <c r="Z197" s="231"/>
      <c r="AA197" s="231"/>
      <c r="AB197" s="231"/>
      <c r="AC197" s="231"/>
      <c r="AD197" s="231"/>
      <c r="AE197" s="231"/>
      <c r="AF197" s="231"/>
      <c r="AG197" s="231"/>
      <c r="AH197" s="231"/>
      <c r="AI197" s="231"/>
      <c r="AJ197" s="231"/>
      <c r="AK197" s="231"/>
      <c r="AL197" s="231"/>
    </row>
    <row r="198" spans="6:38" s="125" customFormat="1" ht="12.75">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1"/>
      <c r="AC198" s="231"/>
      <c r="AD198" s="231"/>
      <c r="AE198" s="231"/>
      <c r="AF198" s="231"/>
      <c r="AG198" s="231"/>
      <c r="AH198" s="231"/>
      <c r="AI198" s="231"/>
      <c r="AJ198" s="231"/>
      <c r="AK198" s="231"/>
      <c r="AL198" s="231"/>
    </row>
    <row r="199" spans="6:38" s="125" customFormat="1" ht="12.75">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31"/>
      <c r="AD199" s="231"/>
      <c r="AE199" s="231"/>
      <c r="AF199" s="231"/>
      <c r="AG199" s="231"/>
      <c r="AH199" s="231"/>
      <c r="AI199" s="231"/>
      <c r="AJ199" s="231"/>
      <c r="AK199" s="231"/>
      <c r="AL199" s="231"/>
    </row>
    <row r="200" spans="6:38" s="125" customFormat="1" ht="12.75">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31"/>
      <c r="AD200" s="231"/>
      <c r="AE200" s="231"/>
      <c r="AF200" s="231"/>
      <c r="AG200" s="231"/>
      <c r="AH200" s="231"/>
      <c r="AI200" s="231"/>
      <c r="AJ200" s="231"/>
      <c r="AK200" s="231"/>
      <c r="AL200" s="231"/>
    </row>
    <row r="201" spans="6:38" s="125" customFormat="1" ht="12.75">
      <c r="F201" s="231"/>
      <c r="G201" s="231"/>
      <c r="H201" s="231"/>
      <c r="I201" s="231"/>
      <c r="J201" s="231"/>
      <c r="K201" s="231"/>
      <c r="L201" s="231"/>
      <c r="M201" s="231"/>
      <c r="N201" s="231"/>
      <c r="O201" s="231"/>
      <c r="P201" s="231"/>
      <c r="Q201" s="231"/>
      <c r="R201" s="231"/>
      <c r="S201" s="231"/>
      <c r="T201" s="231"/>
      <c r="U201" s="231"/>
      <c r="V201" s="231"/>
      <c r="W201" s="231"/>
      <c r="X201" s="231"/>
      <c r="Y201" s="231"/>
      <c r="Z201" s="231"/>
      <c r="AA201" s="231"/>
      <c r="AB201" s="231"/>
      <c r="AC201" s="231"/>
      <c r="AD201" s="231"/>
      <c r="AE201" s="231"/>
      <c r="AF201" s="231"/>
      <c r="AG201" s="231"/>
      <c r="AH201" s="231"/>
      <c r="AI201" s="231"/>
      <c r="AJ201" s="231"/>
      <c r="AK201" s="231"/>
      <c r="AL201" s="231"/>
    </row>
    <row r="202" spans="6:38" s="125" customFormat="1" ht="12.75">
      <c r="F202" s="231"/>
      <c r="G202" s="231"/>
      <c r="H202" s="231"/>
      <c r="I202" s="231"/>
      <c r="J202" s="231"/>
      <c r="K202" s="231"/>
      <c r="L202" s="231"/>
      <c r="M202" s="231"/>
      <c r="N202" s="231"/>
      <c r="O202" s="231"/>
      <c r="P202" s="231"/>
      <c r="Q202" s="231"/>
      <c r="R202" s="231"/>
      <c r="S202" s="231"/>
      <c r="T202" s="231"/>
      <c r="U202" s="231"/>
      <c r="V202" s="231"/>
      <c r="W202" s="231"/>
      <c r="X202" s="231"/>
      <c r="Y202" s="231"/>
      <c r="Z202" s="231"/>
      <c r="AA202" s="231"/>
      <c r="AB202" s="231"/>
      <c r="AC202" s="231"/>
      <c r="AD202" s="231"/>
      <c r="AE202" s="231"/>
      <c r="AF202" s="231"/>
      <c r="AG202" s="231"/>
      <c r="AH202" s="231"/>
      <c r="AI202" s="231"/>
      <c r="AJ202" s="231"/>
      <c r="AK202" s="231"/>
      <c r="AL202" s="231"/>
    </row>
    <row r="203" spans="6:38" s="125" customFormat="1" ht="12.75">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E203" s="231"/>
      <c r="AF203" s="231"/>
      <c r="AG203" s="231"/>
      <c r="AH203" s="231"/>
      <c r="AI203" s="231"/>
      <c r="AJ203" s="231"/>
      <c r="AK203" s="231"/>
      <c r="AL203" s="231"/>
    </row>
    <row r="204" spans="6:38" s="125" customFormat="1" ht="12.75">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E204" s="231"/>
      <c r="AF204" s="231"/>
      <c r="AG204" s="231"/>
      <c r="AH204" s="231"/>
      <c r="AI204" s="231"/>
      <c r="AJ204" s="231"/>
      <c r="AK204" s="231"/>
      <c r="AL204" s="231"/>
    </row>
    <row r="205" spans="6:38" s="125" customFormat="1" ht="12.75">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E205" s="231"/>
      <c r="AF205" s="231"/>
      <c r="AG205" s="231"/>
      <c r="AH205" s="231"/>
      <c r="AI205" s="231"/>
      <c r="AJ205" s="231"/>
      <c r="AK205" s="231"/>
      <c r="AL205" s="231"/>
    </row>
    <row r="206" spans="6:38" s="125" customFormat="1" ht="12.75">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E206" s="231"/>
      <c r="AF206" s="231"/>
      <c r="AG206" s="231"/>
      <c r="AH206" s="231"/>
      <c r="AI206" s="231"/>
      <c r="AJ206" s="231"/>
      <c r="AK206" s="231"/>
      <c r="AL206" s="231"/>
    </row>
    <row r="207" spans="6:38" s="125" customFormat="1" ht="12.75">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E207" s="231"/>
      <c r="AF207" s="231"/>
      <c r="AG207" s="231"/>
      <c r="AH207" s="231"/>
      <c r="AI207" s="231"/>
      <c r="AJ207" s="231"/>
      <c r="AK207" s="231"/>
      <c r="AL207" s="231"/>
    </row>
    <row r="208" spans="6:38" s="125" customFormat="1" ht="12.75">
      <c r="F208" s="231"/>
      <c r="G208" s="231"/>
      <c r="H208" s="231"/>
      <c r="I208" s="231"/>
      <c r="J208" s="231"/>
      <c r="K208" s="231"/>
      <c r="L208" s="231"/>
      <c r="M208" s="231"/>
      <c r="N208" s="231"/>
      <c r="O208" s="231"/>
      <c r="P208" s="231"/>
      <c r="Q208" s="231"/>
      <c r="R208" s="231"/>
      <c r="S208" s="231"/>
      <c r="T208" s="231"/>
      <c r="U208" s="231"/>
      <c r="V208" s="231"/>
      <c r="W208" s="231"/>
      <c r="X208" s="231"/>
      <c r="Y208" s="231"/>
      <c r="Z208" s="231"/>
      <c r="AA208" s="231"/>
      <c r="AB208" s="231"/>
      <c r="AC208" s="231"/>
      <c r="AD208" s="231"/>
      <c r="AE208" s="231"/>
      <c r="AF208" s="231"/>
      <c r="AG208" s="231"/>
      <c r="AH208" s="231"/>
      <c r="AI208" s="231"/>
      <c r="AJ208" s="231"/>
      <c r="AK208" s="231"/>
      <c r="AL208" s="231"/>
    </row>
    <row r="209" spans="6:38" s="125" customFormat="1" ht="12.75">
      <c r="F209" s="231"/>
      <c r="G209" s="231"/>
      <c r="H209" s="231"/>
      <c r="I209" s="231"/>
      <c r="J209" s="231"/>
      <c r="K209" s="231"/>
      <c r="L209" s="231"/>
      <c r="M209" s="231"/>
      <c r="N209" s="231"/>
      <c r="O209" s="231"/>
      <c r="P209" s="231"/>
      <c r="Q209" s="231"/>
      <c r="R209" s="231"/>
      <c r="S209" s="231"/>
      <c r="T209" s="231"/>
      <c r="U209" s="231"/>
      <c r="V209" s="231"/>
      <c r="W209" s="231"/>
      <c r="X209" s="231"/>
      <c r="Y209" s="231"/>
      <c r="Z209" s="231"/>
      <c r="AA209" s="231"/>
      <c r="AB209" s="231"/>
      <c r="AC209" s="231"/>
      <c r="AD209" s="231"/>
      <c r="AE209" s="231"/>
      <c r="AF209" s="231"/>
      <c r="AG209" s="231"/>
      <c r="AH209" s="231"/>
      <c r="AI209" s="231"/>
      <c r="AJ209" s="231"/>
      <c r="AK209" s="231"/>
      <c r="AL209" s="231"/>
    </row>
    <row r="210" spans="6:38" s="125" customFormat="1" ht="12.75">
      <c r="F210" s="231"/>
      <c r="G210" s="231"/>
      <c r="H210" s="231"/>
      <c r="I210" s="231"/>
      <c r="J210" s="231"/>
      <c r="K210" s="231"/>
      <c r="L210" s="231"/>
      <c r="M210" s="231"/>
      <c r="N210" s="231"/>
      <c r="O210" s="231"/>
      <c r="P210" s="231"/>
      <c r="Q210" s="231"/>
      <c r="R210" s="231"/>
      <c r="S210" s="231"/>
      <c r="T210" s="231"/>
      <c r="U210" s="231"/>
      <c r="V210" s="231"/>
      <c r="W210" s="231"/>
      <c r="X210" s="231"/>
      <c r="Y210" s="231"/>
      <c r="Z210" s="231"/>
      <c r="AA210" s="231"/>
      <c r="AB210" s="231"/>
      <c r="AC210" s="231"/>
      <c r="AD210" s="231"/>
      <c r="AE210" s="231"/>
      <c r="AF210" s="231"/>
      <c r="AG210" s="231"/>
      <c r="AH210" s="231"/>
      <c r="AI210" s="231"/>
      <c r="AJ210" s="231"/>
      <c r="AK210" s="231"/>
      <c r="AL210" s="231"/>
    </row>
    <row r="211" spans="6:38" s="125" customFormat="1" ht="12.75">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AB211" s="231"/>
      <c r="AC211" s="231"/>
      <c r="AD211" s="231"/>
      <c r="AE211" s="231"/>
      <c r="AF211" s="231"/>
      <c r="AG211" s="231"/>
      <c r="AH211" s="231"/>
      <c r="AI211" s="231"/>
      <c r="AJ211" s="231"/>
      <c r="AK211" s="231"/>
      <c r="AL211" s="231"/>
    </row>
    <row r="212" spans="6:38" s="125" customFormat="1" ht="12.75">
      <c r="F212" s="231"/>
      <c r="G212" s="231"/>
      <c r="H212" s="231"/>
      <c r="I212" s="231"/>
      <c r="J212" s="231"/>
      <c r="K212" s="231"/>
      <c r="L212" s="231"/>
      <c r="M212" s="231"/>
      <c r="N212" s="231"/>
      <c r="O212" s="231"/>
      <c r="P212" s="231"/>
      <c r="Q212" s="231"/>
      <c r="R212" s="231"/>
      <c r="S212" s="231"/>
      <c r="T212" s="231"/>
      <c r="U212" s="231"/>
      <c r="V212" s="231"/>
      <c r="W212" s="231"/>
      <c r="X212" s="231"/>
      <c r="Y212" s="231"/>
      <c r="Z212" s="231"/>
      <c r="AA212" s="231"/>
      <c r="AB212" s="231"/>
      <c r="AC212" s="231"/>
      <c r="AD212" s="231"/>
      <c r="AE212" s="231"/>
      <c r="AF212" s="231"/>
      <c r="AG212" s="231"/>
      <c r="AH212" s="231"/>
      <c r="AI212" s="231"/>
      <c r="AJ212" s="231"/>
      <c r="AK212" s="231"/>
      <c r="AL212" s="231"/>
    </row>
    <row r="213" spans="6:38" s="125" customFormat="1" ht="12.75">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row>
    <row r="214" spans="6:38" s="125" customFormat="1" ht="12.75">
      <c r="F214" s="231"/>
      <c r="G214" s="231"/>
      <c r="H214" s="231"/>
      <c r="I214" s="231"/>
      <c r="J214" s="231"/>
      <c r="K214" s="231"/>
      <c r="L214" s="231"/>
      <c r="M214" s="231"/>
      <c r="N214" s="231"/>
      <c r="O214" s="231"/>
      <c r="P214" s="231"/>
      <c r="Q214" s="231"/>
      <c r="R214" s="231"/>
      <c r="S214" s="231"/>
      <c r="T214" s="231"/>
      <c r="U214" s="231"/>
      <c r="V214" s="231"/>
      <c r="W214" s="231"/>
      <c r="X214" s="231"/>
      <c r="Y214" s="231"/>
      <c r="Z214" s="231"/>
      <c r="AA214" s="231"/>
      <c r="AB214" s="231"/>
      <c r="AC214" s="231"/>
      <c r="AD214" s="231"/>
      <c r="AE214" s="231"/>
      <c r="AF214" s="231"/>
      <c r="AG214" s="231"/>
      <c r="AH214" s="231"/>
      <c r="AI214" s="231"/>
      <c r="AJ214" s="231"/>
      <c r="AK214" s="231"/>
      <c r="AL214" s="231"/>
    </row>
    <row r="215" spans="6:38" s="125" customFormat="1" ht="12.75">
      <c r="F215" s="231"/>
      <c r="G215" s="231"/>
      <c r="H215" s="231"/>
      <c r="I215" s="231"/>
      <c r="J215" s="231"/>
      <c r="K215" s="231"/>
      <c r="L215" s="231"/>
      <c r="M215" s="231"/>
      <c r="N215" s="231"/>
      <c r="O215" s="231"/>
      <c r="P215" s="231"/>
      <c r="Q215" s="231"/>
      <c r="R215" s="231"/>
      <c r="S215" s="231"/>
      <c r="T215" s="231"/>
      <c r="U215" s="231"/>
      <c r="V215" s="231"/>
      <c r="W215" s="231"/>
      <c r="X215" s="231"/>
      <c r="Y215" s="231"/>
      <c r="Z215" s="231"/>
      <c r="AA215" s="231"/>
      <c r="AB215" s="231"/>
      <c r="AC215" s="231"/>
      <c r="AD215" s="231"/>
      <c r="AE215" s="231"/>
      <c r="AF215" s="231"/>
      <c r="AG215" s="231"/>
      <c r="AH215" s="231"/>
      <c r="AI215" s="231"/>
      <c r="AJ215" s="231"/>
      <c r="AK215" s="231"/>
      <c r="AL215" s="231"/>
    </row>
    <row r="216" spans="6:38" s="125" customFormat="1" ht="12.75">
      <c r="F216" s="231"/>
      <c r="G216" s="231"/>
      <c r="H216" s="231"/>
      <c r="I216" s="231"/>
      <c r="J216" s="231"/>
      <c r="K216" s="231"/>
      <c r="L216" s="231"/>
      <c r="M216" s="231"/>
      <c r="N216" s="231"/>
      <c r="O216" s="231"/>
      <c r="P216" s="231"/>
      <c r="Q216" s="231"/>
      <c r="R216" s="231"/>
      <c r="S216" s="231"/>
      <c r="T216" s="231"/>
      <c r="U216" s="231"/>
      <c r="V216" s="231"/>
      <c r="W216" s="231"/>
      <c r="X216" s="231"/>
      <c r="Y216" s="231"/>
      <c r="Z216" s="231"/>
      <c r="AA216" s="231"/>
      <c r="AB216" s="231"/>
      <c r="AC216" s="231"/>
      <c r="AD216" s="231"/>
      <c r="AE216" s="231"/>
      <c r="AF216" s="231"/>
      <c r="AG216" s="231"/>
      <c r="AH216" s="231"/>
      <c r="AI216" s="231"/>
      <c r="AJ216" s="231"/>
      <c r="AK216" s="231"/>
      <c r="AL216" s="231"/>
    </row>
    <row r="217" spans="6:38" s="125" customFormat="1" ht="12.75">
      <c r="F217" s="231"/>
      <c r="G217" s="231"/>
      <c r="H217" s="231"/>
      <c r="I217" s="231"/>
      <c r="J217" s="231"/>
      <c r="K217" s="231"/>
      <c r="L217" s="231"/>
      <c r="M217" s="231"/>
      <c r="N217" s="231"/>
      <c r="O217" s="231"/>
      <c r="P217" s="231"/>
      <c r="Q217" s="231"/>
      <c r="R217" s="231"/>
      <c r="S217" s="231"/>
      <c r="T217" s="231"/>
      <c r="U217" s="231"/>
      <c r="V217" s="231"/>
      <c r="W217" s="231"/>
      <c r="X217" s="231"/>
      <c r="Y217" s="231"/>
      <c r="Z217" s="231"/>
      <c r="AA217" s="231"/>
      <c r="AB217" s="231"/>
      <c r="AC217" s="231"/>
      <c r="AD217" s="231"/>
      <c r="AE217" s="231"/>
      <c r="AF217" s="231"/>
      <c r="AG217" s="231"/>
      <c r="AH217" s="231"/>
      <c r="AI217" s="231"/>
      <c r="AJ217" s="231"/>
      <c r="AK217" s="231"/>
      <c r="AL217" s="231"/>
    </row>
    <row r="218" spans="6:38" s="125" customFormat="1" ht="12.75">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31"/>
      <c r="AD218" s="231"/>
      <c r="AE218" s="231"/>
      <c r="AF218" s="231"/>
      <c r="AG218" s="231"/>
      <c r="AH218" s="231"/>
      <c r="AI218" s="231"/>
      <c r="AJ218" s="231"/>
      <c r="AK218" s="231"/>
      <c r="AL218" s="231"/>
    </row>
    <row r="219" spans="6:38" s="125" customFormat="1" ht="12.75">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31"/>
      <c r="AD219" s="231"/>
      <c r="AE219" s="231"/>
      <c r="AF219" s="231"/>
      <c r="AG219" s="231"/>
      <c r="AH219" s="231"/>
      <c r="AI219" s="231"/>
      <c r="AJ219" s="231"/>
      <c r="AK219" s="231"/>
      <c r="AL219" s="231"/>
    </row>
    <row r="220" spans="6:38" s="125" customFormat="1" ht="12.75">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31"/>
      <c r="AD220" s="231"/>
      <c r="AE220" s="231"/>
      <c r="AF220" s="231"/>
      <c r="AG220" s="231"/>
      <c r="AH220" s="231"/>
      <c r="AI220" s="231"/>
      <c r="AJ220" s="231"/>
      <c r="AK220" s="231"/>
      <c r="AL220" s="231"/>
    </row>
    <row r="221" spans="6:38" s="125" customFormat="1" ht="12.75">
      <c r="F221" s="231"/>
      <c r="G221" s="231"/>
      <c r="H221" s="231"/>
      <c r="I221" s="231"/>
      <c r="J221" s="231"/>
      <c r="K221" s="231"/>
      <c r="L221" s="231"/>
      <c r="M221" s="231"/>
      <c r="N221" s="231"/>
      <c r="O221" s="231"/>
      <c r="P221" s="231"/>
      <c r="Q221" s="231"/>
      <c r="R221" s="231"/>
      <c r="S221" s="231"/>
      <c r="T221" s="231"/>
      <c r="U221" s="231"/>
      <c r="V221" s="231"/>
      <c r="W221" s="231"/>
      <c r="X221" s="231"/>
      <c r="Y221" s="231"/>
      <c r="Z221" s="231"/>
      <c r="AA221" s="231"/>
      <c r="AB221" s="231"/>
      <c r="AC221" s="231"/>
      <c r="AD221" s="231"/>
      <c r="AE221" s="231"/>
      <c r="AF221" s="231"/>
      <c r="AG221" s="231"/>
      <c r="AH221" s="231"/>
      <c r="AI221" s="231"/>
      <c r="AJ221" s="231"/>
      <c r="AK221" s="231"/>
      <c r="AL221" s="231"/>
    </row>
    <row r="222" spans="6:38" s="125" customFormat="1" ht="12.75">
      <c r="F222" s="231"/>
      <c r="G222" s="231"/>
      <c r="H222" s="231"/>
      <c r="I222" s="231"/>
      <c r="J222" s="231"/>
      <c r="K222" s="231"/>
      <c r="L222" s="231"/>
      <c r="M222" s="231"/>
      <c r="N222" s="231"/>
      <c r="O222" s="231"/>
      <c r="P222" s="231"/>
      <c r="Q222" s="231"/>
      <c r="R222" s="231"/>
      <c r="S222" s="231"/>
      <c r="T222" s="231"/>
      <c r="U222" s="231"/>
      <c r="V222" s="231"/>
      <c r="W222" s="231"/>
      <c r="X222" s="231"/>
      <c r="Y222" s="231"/>
      <c r="Z222" s="231"/>
      <c r="AA222" s="231"/>
      <c r="AB222" s="231"/>
      <c r="AC222" s="231"/>
      <c r="AD222" s="231"/>
      <c r="AE222" s="231"/>
      <c r="AF222" s="231"/>
      <c r="AG222" s="231"/>
      <c r="AH222" s="231"/>
      <c r="AI222" s="231"/>
      <c r="AJ222" s="231"/>
      <c r="AK222" s="231"/>
      <c r="AL222" s="231"/>
    </row>
    <row r="223" spans="6:38" s="125" customFormat="1" ht="12.75">
      <c r="F223" s="231"/>
      <c r="G223" s="231"/>
      <c r="H223" s="231"/>
      <c r="I223" s="231"/>
      <c r="J223" s="231"/>
      <c r="K223" s="231"/>
      <c r="L223" s="231"/>
      <c r="M223" s="231"/>
      <c r="N223" s="231"/>
      <c r="O223" s="231"/>
      <c r="P223" s="231"/>
      <c r="Q223" s="231"/>
      <c r="R223" s="231"/>
      <c r="S223" s="231"/>
      <c r="T223" s="231"/>
      <c r="U223" s="231"/>
      <c r="V223" s="231"/>
      <c r="W223" s="231"/>
      <c r="X223" s="231"/>
      <c r="Y223" s="231"/>
      <c r="Z223" s="231"/>
      <c r="AA223" s="231"/>
      <c r="AB223" s="231"/>
      <c r="AC223" s="231"/>
      <c r="AD223" s="231"/>
      <c r="AE223" s="231"/>
      <c r="AF223" s="231"/>
      <c r="AG223" s="231"/>
      <c r="AH223" s="231"/>
      <c r="AI223" s="231"/>
      <c r="AJ223" s="231"/>
      <c r="AK223" s="231"/>
      <c r="AL223" s="231"/>
    </row>
    <row r="224" spans="6:38" s="125" customFormat="1" ht="12.75">
      <c r="F224" s="231"/>
      <c r="G224" s="231"/>
      <c r="H224" s="231"/>
      <c r="I224" s="231"/>
      <c r="J224" s="231"/>
      <c r="K224" s="231"/>
      <c r="L224" s="231"/>
      <c r="M224" s="231"/>
      <c r="N224" s="231"/>
      <c r="O224" s="231"/>
      <c r="P224" s="231"/>
      <c r="Q224" s="231"/>
      <c r="R224" s="231"/>
      <c r="S224" s="231"/>
      <c r="T224" s="231"/>
      <c r="U224" s="231"/>
      <c r="V224" s="231"/>
      <c r="W224" s="231"/>
      <c r="X224" s="231"/>
      <c r="Y224" s="231"/>
      <c r="Z224" s="231"/>
      <c r="AA224" s="231"/>
      <c r="AB224" s="231"/>
      <c r="AC224" s="231"/>
      <c r="AD224" s="231"/>
      <c r="AE224" s="231"/>
      <c r="AF224" s="231"/>
      <c r="AG224" s="231"/>
      <c r="AH224" s="231"/>
      <c r="AI224" s="231"/>
      <c r="AJ224" s="231"/>
      <c r="AK224" s="231"/>
      <c r="AL224" s="231"/>
    </row>
    <row r="225" spans="6:38" s="125" customFormat="1" ht="12.75">
      <c r="F225" s="231"/>
      <c r="G225" s="231"/>
      <c r="H225" s="231"/>
      <c r="I225" s="231"/>
      <c r="J225" s="231"/>
      <c r="K225" s="231"/>
      <c r="L225" s="231"/>
      <c r="M225" s="231"/>
      <c r="N225" s="231"/>
      <c r="O225" s="231"/>
      <c r="P225" s="231"/>
      <c r="Q225" s="231"/>
      <c r="R225" s="231"/>
      <c r="S225" s="231"/>
      <c r="T225" s="231"/>
      <c r="U225" s="231"/>
      <c r="V225" s="231"/>
      <c r="W225" s="231"/>
      <c r="X225" s="231"/>
      <c r="Y225" s="231"/>
      <c r="Z225" s="231"/>
      <c r="AA225" s="231"/>
      <c r="AB225" s="231"/>
      <c r="AC225" s="231"/>
      <c r="AD225" s="231"/>
      <c r="AE225" s="231"/>
      <c r="AF225" s="231"/>
      <c r="AG225" s="231"/>
      <c r="AH225" s="231"/>
      <c r="AI225" s="231"/>
      <c r="AJ225" s="231"/>
      <c r="AK225" s="231"/>
      <c r="AL225" s="231"/>
    </row>
    <row r="226" spans="6:38" s="125" customFormat="1" ht="12.75">
      <c r="F226" s="231"/>
      <c r="G226" s="231"/>
      <c r="H226" s="231"/>
      <c r="I226" s="231"/>
      <c r="J226" s="231"/>
      <c r="K226" s="231"/>
      <c r="L226" s="231"/>
      <c r="M226" s="231"/>
      <c r="N226" s="231"/>
      <c r="O226" s="231"/>
      <c r="P226" s="231"/>
      <c r="Q226" s="231"/>
      <c r="R226" s="231"/>
      <c r="S226" s="231"/>
      <c r="T226" s="231"/>
      <c r="U226" s="231"/>
      <c r="V226" s="231"/>
      <c r="W226" s="231"/>
      <c r="X226" s="231"/>
      <c r="Y226" s="231"/>
      <c r="Z226" s="231"/>
      <c r="AA226" s="231"/>
      <c r="AB226" s="231"/>
      <c r="AC226" s="231"/>
      <c r="AD226" s="231"/>
      <c r="AE226" s="231"/>
      <c r="AF226" s="231"/>
      <c r="AG226" s="231"/>
      <c r="AH226" s="231"/>
      <c r="AI226" s="231"/>
      <c r="AJ226" s="231"/>
      <c r="AK226" s="231"/>
      <c r="AL226" s="231"/>
    </row>
    <row r="227" spans="6:38" s="125" customFormat="1" ht="12.75">
      <c r="F227" s="231"/>
      <c r="G227" s="231"/>
      <c r="H227" s="231"/>
      <c r="I227" s="231"/>
      <c r="J227" s="231"/>
      <c r="K227" s="231"/>
      <c r="L227" s="231"/>
      <c r="M227" s="231"/>
      <c r="N227" s="231"/>
      <c r="O227" s="231"/>
      <c r="P227" s="231"/>
      <c r="Q227" s="231"/>
      <c r="R227" s="231"/>
      <c r="S227" s="231"/>
      <c r="T227" s="231"/>
      <c r="U227" s="231"/>
      <c r="V227" s="231"/>
      <c r="W227" s="231"/>
      <c r="X227" s="231"/>
      <c r="Y227" s="231"/>
      <c r="Z227" s="231"/>
      <c r="AA227" s="231"/>
      <c r="AB227" s="231"/>
      <c r="AC227" s="231"/>
      <c r="AD227" s="231"/>
      <c r="AE227" s="231"/>
      <c r="AF227" s="231"/>
      <c r="AG227" s="231"/>
      <c r="AH227" s="231"/>
      <c r="AI227" s="231"/>
      <c r="AJ227" s="231"/>
      <c r="AK227" s="231"/>
      <c r="AL227" s="231"/>
    </row>
    <row r="228" spans="6:38" s="125" customFormat="1" ht="12.75">
      <c r="F228" s="231"/>
      <c r="G228" s="231"/>
      <c r="H228" s="231"/>
      <c r="I228" s="231"/>
      <c r="J228" s="231"/>
      <c r="K228" s="231"/>
      <c r="L228" s="231"/>
      <c r="M228" s="231"/>
      <c r="N228" s="231"/>
      <c r="O228" s="231"/>
      <c r="P228" s="231"/>
      <c r="Q228" s="231"/>
      <c r="R228" s="231"/>
      <c r="S228" s="231"/>
      <c r="T228" s="231"/>
      <c r="U228" s="231"/>
      <c r="V228" s="231"/>
      <c r="W228" s="231"/>
      <c r="X228" s="231"/>
      <c r="Y228" s="231"/>
      <c r="Z228" s="231"/>
      <c r="AA228" s="231"/>
      <c r="AB228" s="231"/>
      <c r="AC228" s="231"/>
      <c r="AD228" s="231"/>
      <c r="AE228" s="231"/>
      <c r="AF228" s="231"/>
      <c r="AG228" s="231"/>
      <c r="AH228" s="231"/>
      <c r="AI228" s="231"/>
      <c r="AJ228" s="231"/>
      <c r="AK228" s="231"/>
      <c r="AL228" s="231"/>
    </row>
    <row r="229" spans="6:38" s="125" customFormat="1" ht="12.75">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31"/>
      <c r="AD229" s="231"/>
      <c r="AE229" s="231"/>
      <c r="AF229" s="231"/>
      <c r="AG229" s="231"/>
      <c r="AH229" s="231"/>
      <c r="AI229" s="231"/>
      <c r="AJ229" s="231"/>
      <c r="AK229" s="231"/>
      <c r="AL229" s="231"/>
    </row>
    <row r="230" spans="6:38" s="125" customFormat="1" ht="12.75">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31"/>
      <c r="AD230" s="231"/>
      <c r="AE230" s="231"/>
      <c r="AF230" s="231"/>
      <c r="AG230" s="231"/>
      <c r="AH230" s="231"/>
      <c r="AI230" s="231"/>
      <c r="AJ230" s="231"/>
      <c r="AK230" s="231"/>
      <c r="AL230" s="231"/>
    </row>
    <row r="231" spans="6:38" s="125" customFormat="1" ht="12.75">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31"/>
      <c r="AD231" s="231"/>
      <c r="AE231" s="231"/>
      <c r="AF231" s="231"/>
      <c r="AG231" s="231"/>
      <c r="AH231" s="231"/>
      <c r="AI231" s="231"/>
      <c r="AJ231" s="231"/>
      <c r="AK231" s="231"/>
      <c r="AL231" s="231"/>
    </row>
    <row r="232" spans="6:38" s="125" customFormat="1" ht="12.75">
      <c r="F232" s="231"/>
      <c r="G232" s="23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31"/>
      <c r="AD232" s="231"/>
      <c r="AE232" s="231"/>
      <c r="AF232" s="231"/>
      <c r="AG232" s="231"/>
      <c r="AH232" s="231"/>
      <c r="AI232" s="231"/>
      <c r="AJ232" s="231"/>
      <c r="AK232" s="231"/>
      <c r="AL232" s="231"/>
    </row>
    <row r="233" spans="6:38" s="125" customFormat="1" ht="12.75">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31"/>
      <c r="AD233" s="231"/>
      <c r="AE233" s="231"/>
      <c r="AF233" s="231"/>
      <c r="AG233" s="231"/>
      <c r="AH233" s="231"/>
      <c r="AI233" s="231"/>
      <c r="AJ233" s="231"/>
      <c r="AK233" s="231"/>
      <c r="AL233" s="231"/>
    </row>
    <row r="234" spans="6:38" s="125" customFormat="1" ht="12.75">
      <c r="F234" s="231"/>
      <c r="G234" s="231"/>
      <c r="H234" s="231"/>
      <c r="I234" s="231"/>
      <c r="J234" s="231"/>
      <c r="K234" s="231"/>
      <c r="L234" s="231"/>
      <c r="M234" s="231"/>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c r="AK234" s="231"/>
      <c r="AL234" s="231"/>
    </row>
    <row r="235" spans="6:38" s="125" customFormat="1" ht="12.75">
      <c r="F235" s="231"/>
      <c r="G235" s="231"/>
      <c r="H235" s="231"/>
      <c r="I235" s="231"/>
      <c r="J235" s="231"/>
      <c r="K235" s="231"/>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231"/>
      <c r="AL235" s="231"/>
    </row>
    <row r="236" spans="6:38" s="125" customFormat="1" ht="12.75">
      <c r="F236" s="231"/>
      <c r="G236" s="231"/>
      <c r="H236" s="231"/>
      <c r="I236" s="231"/>
      <c r="J236" s="231"/>
      <c r="K236" s="231"/>
      <c r="L236" s="231"/>
      <c r="M236" s="231"/>
      <c r="N236" s="231"/>
      <c r="O236" s="231"/>
      <c r="P236" s="231"/>
      <c r="Q236" s="231"/>
      <c r="R236" s="231"/>
      <c r="S236" s="231"/>
      <c r="T236" s="231"/>
      <c r="U236" s="231"/>
      <c r="V236" s="231"/>
      <c r="W236" s="231"/>
      <c r="X236" s="231"/>
      <c r="Y236" s="231"/>
      <c r="Z236" s="231"/>
      <c r="AA236" s="231"/>
      <c r="AB236" s="231"/>
      <c r="AC236" s="231"/>
      <c r="AD236" s="231"/>
      <c r="AE236" s="231"/>
      <c r="AF236" s="231"/>
      <c r="AG236" s="231"/>
      <c r="AH236" s="231"/>
      <c r="AI236" s="231"/>
      <c r="AJ236" s="231"/>
      <c r="AK236" s="231"/>
      <c r="AL236" s="231"/>
    </row>
    <row r="237" spans="6:38" s="125" customFormat="1" ht="12.75">
      <c r="F237" s="231"/>
      <c r="G237" s="231"/>
      <c r="H237" s="231"/>
      <c r="I237" s="231"/>
      <c r="J237" s="231"/>
      <c r="K237" s="231"/>
      <c r="L237" s="231"/>
      <c r="M237" s="231"/>
      <c r="N237" s="231"/>
      <c r="O237" s="231"/>
      <c r="P237" s="231"/>
      <c r="Q237" s="231"/>
      <c r="R237" s="231"/>
      <c r="S237" s="231"/>
      <c r="T237" s="231"/>
      <c r="U237" s="231"/>
      <c r="V237" s="231"/>
      <c r="W237" s="231"/>
      <c r="X237" s="231"/>
      <c r="Y237" s="231"/>
      <c r="Z237" s="231"/>
      <c r="AA237" s="231"/>
      <c r="AB237" s="231"/>
      <c r="AC237" s="231"/>
      <c r="AD237" s="231"/>
      <c r="AE237" s="231"/>
      <c r="AF237" s="231"/>
      <c r="AG237" s="231"/>
      <c r="AH237" s="231"/>
      <c r="AI237" s="231"/>
      <c r="AJ237" s="231"/>
      <c r="AK237" s="231"/>
      <c r="AL237" s="231"/>
    </row>
    <row r="238" spans="6:38" s="125" customFormat="1" ht="12.75">
      <c r="F238" s="231"/>
      <c r="G238" s="231"/>
      <c r="H238" s="231"/>
      <c r="I238" s="231"/>
      <c r="J238" s="231"/>
      <c r="K238" s="231"/>
      <c r="L238" s="231"/>
      <c r="M238" s="231"/>
      <c r="N238" s="231"/>
      <c r="O238" s="231"/>
      <c r="P238" s="231"/>
      <c r="Q238" s="231"/>
      <c r="R238" s="231"/>
      <c r="S238" s="231"/>
      <c r="T238" s="231"/>
      <c r="U238" s="231"/>
      <c r="V238" s="231"/>
      <c r="W238" s="231"/>
      <c r="X238" s="231"/>
      <c r="Y238" s="231"/>
      <c r="Z238" s="231"/>
      <c r="AA238" s="231"/>
      <c r="AB238" s="231"/>
      <c r="AC238" s="231"/>
      <c r="AD238" s="231"/>
      <c r="AE238" s="231"/>
      <c r="AF238" s="231"/>
      <c r="AG238" s="231"/>
      <c r="AH238" s="231"/>
      <c r="AI238" s="231"/>
      <c r="AJ238" s="231"/>
      <c r="AK238" s="231"/>
      <c r="AL238" s="231"/>
    </row>
    <row r="239" spans="6:38" s="125" customFormat="1" ht="12.75">
      <c r="F239" s="231"/>
      <c r="G239" s="231"/>
      <c r="H239" s="231"/>
      <c r="I239" s="231"/>
      <c r="J239" s="231"/>
      <c r="K239" s="231"/>
      <c r="L239" s="231"/>
      <c r="M239" s="231"/>
      <c r="N239" s="231"/>
      <c r="O239" s="231"/>
      <c r="P239" s="231"/>
      <c r="Q239" s="231"/>
      <c r="R239" s="231"/>
      <c r="S239" s="231"/>
      <c r="T239" s="231"/>
      <c r="U239" s="231"/>
      <c r="V239" s="231"/>
      <c r="W239" s="231"/>
      <c r="X239" s="231"/>
      <c r="Y239" s="231"/>
      <c r="Z239" s="231"/>
      <c r="AA239" s="231"/>
      <c r="AB239" s="231"/>
      <c r="AC239" s="231"/>
      <c r="AD239" s="231"/>
      <c r="AE239" s="231"/>
      <c r="AF239" s="231"/>
      <c r="AG239" s="231"/>
      <c r="AH239" s="231"/>
      <c r="AI239" s="231"/>
      <c r="AJ239" s="231"/>
      <c r="AK239" s="231"/>
      <c r="AL239" s="231"/>
    </row>
    <row r="240" spans="6:38" s="125" customFormat="1" ht="12.75">
      <c r="F240" s="231"/>
      <c r="G240" s="231"/>
      <c r="H240" s="231"/>
      <c r="I240" s="231"/>
      <c r="J240" s="231"/>
      <c r="K240" s="231"/>
      <c r="L240" s="231"/>
      <c r="M240" s="231"/>
      <c r="N240" s="231"/>
      <c r="O240" s="231"/>
      <c r="P240" s="231"/>
      <c r="Q240" s="231"/>
      <c r="R240" s="231"/>
      <c r="S240" s="231"/>
      <c r="T240" s="231"/>
      <c r="U240" s="231"/>
      <c r="V240" s="231"/>
      <c r="W240" s="231"/>
      <c r="X240" s="231"/>
      <c r="Y240" s="231"/>
      <c r="Z240" s="231"/>
      <c r="AA240" s="231"/>
      <c r="AB240" s="231"/>
      <c r="AC240" s="231"/>
      <c r="AD240" s="231"/>
      <c r="AE240" s="231"/>
      <c r="AF240" s="231"/>
      <c r="AG240" s="231"/>
      <c r="AH240" s="231"/>
      <c r="AI240" s="231"/>
      <c r="AJ240" s="231"/>
      <c r="AK240" s="231"/>
      <c r="AL240" s="231"/>
    </row>
    <row r="241" spans="6:38" s="125" customFormat="1" ht="12.75">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1"/>
      <c r="AD241" s="231"/>
      <c r="AE241" s="231"/>
      <c r="AF241" s="231"/>
      <c r="AG241" s="231"/>
      <c r="AH241" s="231"/>
      <c r="AI241" s="231"/>
      <c r="AJ241" s="231"/>
      <c r="AK241" s="231"/>
      <c r="AL241" s="231"/>
    </row>
    <row r="242" spans="6:38" s="125" customFormat="1" ht="12.75">
      <c r="F242" s="231"/>
      <c r="G242" s="231"/>
      <c r="H242" s="231"/>
      <c r="I242" s="231"/>
      <c r="J242" s="231"/>
      <c r="K242" s="231"/>
      <c r="L242" s="231"/>
      <c r="M242" s="231"/>
      <c r="N242" s="231"/>
      <c r="O242" s="231"/>
      <c r="P242" s="231"/>
      <c r="Q242" s="231"/>
      <c r="R242" s="231"/>
      <c r="S242" s="231"/>
      <c r="T242" s="231"/>
      <c r="U242" s="231"/>
      <c r="V242" s="231"/>
      <c r="W242" s="231"/>
      <c r="X242" s="231"/>
      <c r="Y242" s="231"/>
      <c r="Z242" s="231"/>
      <c r="AA242" s="231"/>
      <c r="AB242" s="231"/>
      <c r="AC242" s="231"/>
      <c r="AD242" s="231"/>
      <c r="AE242" s="231"/>
      <c r="AF242" s="231"/>
      <c r="AG242" s="231"/>
      <c r="AH242" s="231"/>
      <c r="AI242" s="231"/>
      <c r="AJ242" s="231"/>
      <c r="AK242" s="231"/>
      <c r="AL242" s="231"/>
    </row>
    <row r="243" spans="6:38" s="125" customFormat="1" ht="12.75">
      <c r="F243" s="231"/>
      <c r="G243" s="231"/>
      <c r="H243" s="231"/>
      <c r="I243" s="231"/>
      <c r="J243" s="231"/>
      <c r="K243" s="231"/>
      <c r="L243" s="231"/>
      <c r="M243" s="231"/>
      <c r="N243" s="231"/>
      <c r="O243" s="231"/>
      <c r="P243" s="231"/>
      <c r="Q243" s="231"/>
      <c r="R243" s="231"/>
      <c r="S243" s="231"/>
      <c r="T243" s="231"/>
      <c r="U243" s="231"/>
      <c r="V243" s="231"/>
      <c r="W243" s="231"/>
      <c r="X243" s="231"/>
      <c r="Y243" s="231"/>
      <c r="Z243" s="231"/>
      <c r="AA243" s="231"/>
      <c r="AB243" s="231"/>
      <c r="AC243" s="231"/>
      <c r="AD243" s="231"/>
      <c r="AE243" s="231"/>
      <c r="AF243" s="231"/>
      <c r="AG243" s="231"/>
      <c r="AH243" s="231"/>
      <c r="AI243" s="231"/>
      <c r="AJ243" s="231"/>
      <c r="AK243" s="231"/>
      <c r="AL243" s="231"/>
    </row>
    <row r="244" spans="6:38" s="125" customFormat="1" ht="12.75">
      <c r="F244" s="231"/>
      <c r="G244" s="231"/>
      <c r="H244" s="231"/>
      <c r="I244" s="231"/>
      <c r="J244" s="231"/>
      <c r="K244" s="231"/>
      <c r="L244" s="231"/>
      <c r="M244" s="231"/>
      <c r="N244" s="231"/>
      <c r="O244" s="231"/>
      <c r="P244" s="231"/>
      <c r="Q244" s="231"/>
      <c r="R244" s="231"/>
      <c r="S244" s="231"/>
      <c r="T244" s="231"/>
      <c r="U244" s="231"/>
      <c r="V244" s="231"/>
      <c r="W244" s="231"/>
      <c r="X244" s="231"/>
      <c r="Y244" s="231"/>
      <c r="Z244" s="231"/>
      <c r="AA244" s="231"/>
      <c r="AB244" s="231"/>
      <c r="AC244" s="231"/>
      <c r="AD244" s="231"/>
      <c r="AE244" s="231"/>
      <c r="AF244" s="231"/>
      <c r="AG244" s="231"/>
      <c r="AH244" s="231"/>
      <c r="AI244" s="231"/>
      <c r="AJ244" s="231"/>
      <c r="AK244" s="231"/>
      <c r="AL244" s="231"/>
    </row>
    <row r="245" spans="6:38" s="125" customFormat="1" ht="12.75">
      <c r="F245" s="231"/>
      <c r="G245" s="231"/>
      <c r="H245" s="231"/>
      <c r="I245" s="231"/>
      <c r="J245" s="231"/>
      <c r="K245" s="231"/>
      <c r="L245" s="231"/>
      <c r="M245" s="231"/>
      <c r="N245" s="231"/>
      <c r="O245" s="231"/>
      <c r="P245" s="231"/>
      <c r="Q245" s="231"/>
      <c r="R245" s="231"/>
      <c r="S245" s="231"/>
      <c r="T245" s="231"/>
      <c r="U245" s="231"/>
      <c r="V245" s="231"/>
      <c r="W245" s="231"/>
      <c r="X245" s="231"/>
      <c r="Y245" s="231"/>
      <c r="Z245" s="231"/>
      <c r="AA245" s="231"/>
      <c r="AB245" s="231"/>
      <c r="AC245" s="231"/>
      <c r="AD245" s="231"/>
      <c r="AE245" s="231"/>
      <c r="AF245" s="231"/>
      <c r="AG245" s="231"/>
      <c r="AH245" s="231"/>
      <c r="AI245" s="231"/>
      <c r="AJ245" s="231"/>
      <c r="AK245" s="231"/>
      <c r="AL245" s="231"/>
    </row>
    <row r="246" spans="6:38" s="125" customFormat="1" ht="12.75">
      <c r="F246" s="231"/>
      <c r="G246" s="231"/>
      <c r="H246" s="231"/>
      <c r="I246" s="231"/>
      <c r="J246" s="231"/>
      <c r="K246" s="231"/>
      <c r="L246" s="231"/>
      <c r="M246" s="231"/>
      <c r="N246" s="231"/>
      <c r="O246" s="231"/>
      <c r="P246" s="231"/>
      <c r="Q246" s="231"/>
      <c r="R246" s="231"/>
      <c r="S246" s="231"/>
      <c r="T246" s="231"/>
      <c r="U246" s="231"/>
      <c r="V246" s="231"/>
      <c r="W246" s="231"/>
      <c r="X246" s="231"/>
      <c r="Y246" s="231"/>
      <c r="Z246" s="231"/>
      <c r="AA246" s="231"/>
      <c r="AB246" s="231"/>
      <c r="AC246" s="231"/>
      <c r="AD246" s="231"/>
      <c r="AE246" s="231"/>
      <c r="AF246" s="231"/>
      <c r="AG246" s="231"/>
      <c r="AH246" s="231"/>
      <c r="AI246" s="231"/>
      <c r="AJ246" s="231"/>
      <c r="AK246" s="231"/>
      <c r="AL246" s="231"/>
    </row>
    <row r="247" spans="6:38" s="125" customFormat="1" ht="12.75">
      <c r="F247" s="231"/>
      <c r="G247" s="231"/>
      <c r="H247" s="231"/>
      <c r="I247" s="231"/>
      <c r="J247" s="231"/>
      <c r="K247" s="231"/>
      <c r="L247" s="231"/>
      <c r="M247" s="231"/>
      <c r="N247" s="231"/>
      <c r="O247" s="231"/>
      <c r="P247" s="231"/>
      <c r="Q247" s="231"/>
      <c r="R247" s="231"/>
      <c r="S247" s="231"/>
      <c r="T247" s="231"/>
      <c r="U247" s="231"/>
      <c r="V247" s="231"/>
      <c r="W247" s="231"/>
      <c r="X247" s="231"/>
      <c r="Y247" s="231"/>
      <c r="Z247" s="231"/>
      <c r="AA247" s="231"/>
      <c r="AB247" s="231"/>
      <c r="AC247" s="231"/>
      <c r="AD247" s="231"/>
      <c r="AE247" s="231"/>
      <c r="AF247" s="231"/>
      <c r="AG247" s="231"/>
      <c r="AH247" s="231"/>
      <c r="AI247" s="231"/>
      <c r="AJ247" s="231"/>
      <c r="AK247" s="231"/>
      <c r="AL247" s="231"/>
    </row>
    <row r="248" spans="6:38" s="125" customFormat="1" ht="12.75">
      <c r="F248" s="231"/>
      <c r="G248" s="231"/>
      <c r="H248" s="231"/>
      <c r="I248" s="231"/>
      <c r="J248" s="231"/>
      <c r="K248" s="231"/>
      <c r="L248" s="231"/>
      <c r="M248" s="231"/>
      <c r="N248" s="231"/>
      <c r="O248" s="231"/>
      <c r="P248" s="231"/>
      <c r="Q248" s="231"/>
      <c r="R248" s="231"/>
      <c r="S248" s="231"/>
      <c r="T248" s="231"/>
      <c r="U248" s="231"/>
      <c r="V248" s="231"/>
      <c r="W248" s="231"/>
      <c r="X248" s="231"/>
      <c r="Y248" s="231"/>
      <c r="Z248" s="231"/>
      <c r="AA248" s="231"/>
      <c r="AB248" s="231"/>
      <c r="AC248" s="231"/>
      <c r="AD248" s="231"/>
      <c r="AE248" s="231"/>
      <c r="AF248" s="231"/>
      <c r="AG248" s="231"/>
      <c r="AH248" s="231"/>
      <c r="AI248" s="231"/>
      <c r="AJ248" s="231"/>
      <c r="AK248" s="231"/>
      <c r="AL248" s="231"/>
    </row>
    <row r="249" spans="6:38" s="125" customFormat="1" ht="12.7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row>
    <row r="250" spans="6:38" s="125" customFormat="1" ht="12.75">
      <c r="F250" s="231"/>
      <c r="G250" s="231"/>
      <c r="H250" s="231"/>
      <c r="I250" s="231"/>
      <c r="J250" s="231"/>
      <c r="K250" s="231"/>
      <c r="L250" s="231"/>
      <c r="M250" s="231"/>
      <c r="N250" s="231"/>
      <c r="O250" s="231"/>
      <c r="P250" s="231"/>
      <c r="Q250" s="231"/>
      <c r="R250" s="231"/>
      <c r="S250" s="231"/>
      <c r="T250" s="231"/>
      <c r="U250" s="231"/>
      <c r="V250" s="231"/>
      <c r="W250" s="231"/>
      <c r="X250" s="231"/>
      <c r="Y250" s="231"/>
      <c r="Z250" s="231"/>
      <c r="AA250" s="231"/>
      <c r="AB250" s="231"/>
      <c r="AC250" s="231"/>
      <c r="AD250" s="231"/>
      <c r="AE250" s="231"/>
      <c r="AF250" s="231"/>
      <c r="AG250" s="231"/>
      <c r="AH250" s="231"/>
      <c r="AI250" s="231"/>
      <c r="AJ250" s="231"/>
      <c r="AK250" s="231"/>
      <c r="AL250" s="231"/>
    </row>
    <row r="251" spans="6:38" s="125" customFormat="1" ht="12.75">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31"/>
      <c r="AD251" s="231"/>
      <c r="AE251" s="231"/>
      <c r="AF251" s="231"/>
      <c r="AG251" s="231"/>
      <c r="AH251" s="231"/>
      <c r="AI251" s="231"/>
      <c r="AJ251" s="231"/>
      <c r="AK251" s="231"/>
      <c r="AL251" s="231"/>
    </row>
    <row r="252" spans="6:38" s="125" customFormat="1" ht="12.75">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31"/>
      <c r="AD252" s="231"/>
      <c r="AE252" s="231"/>
      <c r="AF252" s="231"/>
      <c r="AG252" s="231"/>
      <c r="AH252" s="231"/>
      <c r="AI252" s="231"/>
      <c r="AJ252" s="231"/>
      <c r="AK252" s="231"/>
      <c r="AL252" s="231"/>
    </row>
    <row r="253" spans="6:38" s="125" customFormat="1" ht="12.75">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31"/>
      <c r="AD253" s="231"/>
      <c r="AE253" s="231"/>
      <c r="AF253" s="231"/>
      <c r="AG253" s="231"/>
      <c r="AH253" s="231"/>
      <c r="AI253" s="231"/>
      <c r="AJ253" s="231"/>
      <c r="AK253" s="231"/>
      <c r="AL253" s="231"/>
    </row>
    <row r="254" spans="6:38" s="125" customFormat="1" ht="12.75">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31"/>
      <c r="AD254" s="231"/>
      <c r="AE254" s="231"/>
      <c r="AF254" s="231"/>
      <c r="AG254" s="231"/>
      <c r="AH254" s="231"/>
      <c r="AI254" s="231"/>
      <c r="AJ254" s="231"/>
      <c r="AK254" s="231"/>
      <c r="AL254" s="231"/>
    </row>
    <row r="255" spans="6:38" s="125" customFormat="1" ht="12.75">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31"/>
      <c r="AD255" s="231"/>
      <c r="AE255" s="231"/>
      <c r="AF255" s="231"/>
      <c r="AG255" s="231"/>
      <c r="AH255" s="231"/>
      <c r="AI255" s="231"/>
      <c r="AJ255" s="231"/>
      <c r="AK255" s="231"/>
      <c r="AL255" s="231"/>
    </row>
    <row r="256" spans="6:38" s="125" customFormat="1" ht="12.75">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31"/>
      <c r="AD256" s="231"/>
      <c r="AE256" s="231"/>
      <c r="AF256" s="231"/>
      <c r="AG256" s="231"/>
      <c r="AH256" s="231"/>
      <c r="AI256" s="231"/>
      <c r="AJ256" s="231"/>
      <c r="AK256" s="231"/>
      <c r="AL256" s="231"/>
    </row>
    <row r="257" spans="6:38" s="125" customFormat="1" ht="12.75">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31"/>
      <c r="AD257" s="231"/>
      <c r="AE257" s="231"/>
      <c r="AF257" s="231"/>
      <c r="AG257" s="231"/>
      <c r="AH257" s="231"/>
      <c r="AI257" s="231"/>
      <c r="AJ257" s="231"/>
      <c r="AK257" s="231"/>
      <c r="AL257" s="231"/>
    </row>
    <row r="258" spans="6:38" s="125" customFormat="1" ht="12.75">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231"/>
      <c r="AC258" s="231"/>
      <c r="AD258" s="231"/>
      <c r="AE258" s="231"/>
      <c r="AF258" s="231"/>
      <c r="AG258" s="231"/>
      <c r="AH258" s="231"/>
      <c r="AI258" s="231"/>
      <c r="AJ258" s="231"/>
      <c r="AK258" s="231"/>
      <c r="AL258" s="231"/>
    </row>
    <row r="259" spans="6:38" s="125" customFormat="1" ht="12.75">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31"/>
      <c r="AD259" s="231"/>
      <c r="AE259" s="231"/>
      <c r="AF259" s="231"/>
      <c r="AG259" s="231"/>
      <c r="AH259" s="231"/>
      <c r="AI259" s="231"/>
      <c r="AJ259" s="231"/>
      <c r="AK259" s="231"/>
      <c r="AL259" s="231"/>
    </row>
    <row r="260" spans="6:38" s="125" customFormat="1" ht="12.75">
      <c r="F260" s="231"/>
      <c r="G260" s="231"/>
      <c r="H260" s="231"/>
      <c r="I260" s="231"/>
      <c r="J260" s="231"/>
      <c r="K260" s="231"/>
      <c r="L260" s="231"/>
      <c r="M260" s="231"/>
      <c r="N260" s="231"/>
      <c r="O260" s="231"/>
      <c r="P260" s="231"/>
      <c r="Q260" s="231"/>
      <c r="R260" s="231"/>
      <c r="S260" s="231"/>
      <c r="T260" s="231"/>
      <c r="U260" s="231"/>
      <c r="V260" s="231"/>
      <c r="W260" s="231"/>
      <c r="X260" s="231"/>
      <c r="Y260" s="231"/>
      <c r="Z260" s="231"/>
      <c r="AA260" s="231"/>
      <c r="AB260" s="231"/>
      <c r="AC260" s="231"/>
      <c r="AD260" s="231"/>
      <c r="AE260" s="231"/>
      <c r="AF260" s="231"/>
      <c r="AG260" s="231"/>
      <c r="AH260" s="231"/>
      <c r="AI260" s="231"/>
      <c r="AJ260" s="231"/>
      <c r="AK260" s="231"/>
      <c r="AL260" s="231"/>
    </row>
    <row r="261" spans="6:38" s="125" customFormat="1" ht="12.75">
      <c r="F261" s="231"/>
      <c r="G261" s="231"/>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1"/>
      <c r="AD261" s="231"/>
      <c r="AE261" s="231"/>
      <c r="AF261" s="231"/>
      <c r="AG261" s="231"/>
      <c r="AH261" s="231"/>
      <c r="AI261" s="231"/>
      <c r="AJ261" s="231"/>
      <c r="AK261" s="231"/>
      <c r="AL261" s="231"/>
    </row>
    <row r="262" spans="6:38" s="125" customFormat="1" ht="12.75">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31"/>
      <c r="AD262" s="231"/>
      <c r="AE262" s="231"/>
      <c r="AF262" s="231"/>
      <c r="AG262" s="231"/>
      <c r="AH262" s="231"/>
      <c r="AI262" s="231"/>
      <c r="AJ262" s="231"/>
      <c r="AK262" s="231"/>
      <c r="AL262" s="231"/>
    </row>
    <row r="263" spans="6:38" s="125" customFormat="1" ht="12.75">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31"/>
      <c r="AD263" s="231"/>
      <c r="AE263" s="231"/>
      <c r="AF263" s="231"/>
      <c r="AG263" s="231"/>
      <c r="AH263" s="231"/>
      <c r="AI263" s="231"/>
      <c r="AJ263" s="231"/>
      <c r="AK263" s="231"/>
      <c r="AL263" s="231"/>
    </row>
    <row r="264" spans="6:38" s="125" customFormat="1" ht="12.75">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31"/>
      <c r="AD264" s="231"/>
      <c r="AE264" s="231"/>
      <c r="AF264" s="231"/>
      <c r="AG264" s="231"/>
      <c r="AH264" s="231"/>
      <c r="AI264" s="231"/>
      <c r="AJ264" s="231"/>
      <c r="AK264" s="231"/>
      <c r="AL264" s="231"/>
    </row>
    <row r="265" spans="6:38" s="125" customFormat="1" ht="12.75">
      <c r="F265" s="231"/>
      <c r="G265" s="231"/>
      <c r="H265" s="231"/>
      <c r="I265" s="231"/>
      <c r="J265" s="231"/>
      <c r="K265" s="231"/>
      <c r="L265" s="231"/>
      <c r="M265" s="231"/>
      <c r="N265" s="231"/>
      <c r="O265" s="231"/>
      <c r="P265" s="231"/>
      <c r="Q265" s="231"/>
      <c r="R265" s="231"/>
      <c r="S265" s="231"/>
      <c r="T265" s="231"/>
      <c r="U265" s="231"/>
      <c r="V265" s="231"/>
      <c r="W265" s="231"/>
      <c r="X265" s="231"/>
      <c r="Y265" s="231"/>
      <c r="Z265" s="231"/>
      <c r="AA265" s="231"/>
      <c r="AB265" s="231"/>
      <c r="AC265" s="231"/>
      <c r="AD265" s="231"/>
      <c r="AE265" s="231"/>
      <c r="AF265" s="231"/>
      <c r="AG265" s="231"/>
      <c r="AH265" s="231"/>
      <c r="AI265" s="231"/>
      <c r="AJ265" s="231"/>
      <c r="AK265" s="231"/>
      <c r="AL265" s="231"/>
    </row>
    <row r="266" spans="6:38" s="125" customFormat="1" ht="12.75">
      <c r="F266" s="231"/>
      <c r="G266" s="231"/>
      <c r="H266" s="231"/>
      <c r="I266" s="231"/>
      <c r="J266" s="231"/>
      <c r="K266" s="231"/>
      <c r="L266" s="231"/>
      <c r="M266" s="231"/>
      <c r="N266" s="231"/>
      <c r="O266" s="231"/>
      <c r="P266" s="231"/>
      <c r="Q266" s="231"/>
      <c r="R266" s="231"/>
      <c r="S266" s="231"/>
      <c r="T266" s="231"/>
      <c r="U266" s="231"/>
      <c r="V266" s="231"/>
      <c r="W266" s="231"/>
      <c r="X266" s="231"/>
      <c r="Y266" s="231"/>
      <c r="Z266" s="231"/>
      <c r="AA266" s="231"/>
      <c r="AB266" s="231"/>
      <c r="AC266" s="231"/>
      <c r="AD266" s="231"/>
      <c r="AE266" s="231"/>
      <c r="AF266" s="231"/>
      <c r="AG266" s="231"/>
      <c r="AH266" s="231"/>
      <c r="AI266" s="231"/>
      <c r="AJ266" s="231"/>
      <c r="AK266" s="231"/>
      <c r="AL266" s="231"/>
    </row>
    <row r="267" spans="6:38" s="125" customFormat="1" ht="12.75">
      <c r="F267" s="231"/>
      <c r="G267" s="231"/>
      <c r="H267" s="231"/>
      <c r="I267" s="231"/>
      <c r="J267" s="231"/>
      <c r="K267" s="231"/>
      <c r="L267" s="231"/>
      <c r="M267" s="231"/>
      <c r="N267" s="231"/>
      <c r="O267" s="231"/>
      <c r="P267" s="231"/>
      <c r="Q267" s="231"/>
      <c r="R267" s="231"/>
      <c r="S267" s="231"/>
      <c r="T267" s="231"/>
      <c r="U267" s="231"/>
      <c r="V267" s="231"/>
      <c r="W267" s="231"/>
      <c r="X267" s="231"/>
      <c r="Y267" s="231"/>
      <c r="Z267" s="231"/>
      <c r="AA267" s="231"/>
      <c r="AB267" s="231"/>
      <c r="AC267" s="231"/>
      <c r="AD267" s="231"/>
      <c r="AE267" s="231"/>
      <c r="AF267" s="231"/>
      <c r="AG267" s="231"/>
      <c r="AH267" s="231"/>
      <c r="AI267" s="231"/>
      <c r="AJ267" s="231"/>
      <c r="AK267" s="231"/>
      <c r="AL267" s="231"/>
    </row>
    <row r="268" spans="6:38" s="125" customFormat="1" ht="12.75">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231"/>
      <c r="AL268" s="231"/>
    </row>
    <row r="269" spans="6:38" s="125" customFormat="1" ht="12.75">
      <c r="F269" s="231"/>
      <c r="G269" s="231"/>
      <c r="H269" s="231"/>
      <c r="I269" s="231"/>
      <c r="J269" s="231"/>
      <c r="K269" s="231"/>
      <c r="L269" s="231"/>
      <c r="M269" s="231"/>
      <c r="N269" s="231"/>
      <c r="O269" s="231"/>
      <c r="P269" s="231"/>
      <c r="Q269" s="231"/>
      <c r="R269" s="231"/>
      <c r="S269" s="231"/>
      <c r="T269" s="231"/>
      <c r="U269" s="231"/>
      <c r="V269" s="231"/>
      <c r="W269" s="231"/>
      <c r="X269" s="231"/>
      <c r="Y269" s="231"/>
      <c r="Z269" s="231"/>
      <c r="AA269" s="231"/>
      <c r="AB269" s="231"/>
      <c r="AC269" s="231"/>
      <c r="AD269" s="231"/>
      <c r="AE269" s="231"/>
      <c r="AF269" s="231"/>
      <c r="AG269" s="231"/>
      <c r="AH269" s="231"/>
      <c r="AI269" s="231"/>
      <c r="AJ269" s="231"/>
      <c r="AK269" s="231"/>
      <c r="AL269" s="231"/>
    </row>
    <row r="270" spans="6:38" s="125" customFormat="1" ht="12.75">
      <c r="F270" s="231"/>
      <c r="G270" s="231"/>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31"/>
      <c r="AD270" s="231"/>
      <c r="AE270" s="231"/>
      <c r="AF270" s="231"/>
      <c r="AG270" s="231"/>
      <c r="AH270" s="231"/>
      <c r="AI270" s="231"/>
      <c r="AJ270" s="231"/>
      <c r="AK270" s="231"/>
      <c r="AL270" s="231"/>
    </row>
    <row r="271" spans="6:38" s="125" customFormat="1" ht="12.75">
      <c r="F271" s="231"/>
      <c r="G271" s="231"/>
      <c r="H271" s="231"/>
      <c r="I271" s="231"/>
      <c r="J271" s="231"/>
      <c r="K271" s="231"/>
      <c r="L271" s="231"/>
      <c r="M271" s="231"/>
      <c r="N271" s="231"/>
      <c r="O271" s="231"/>
      <c r="P271" s="231"/>
      <c r="Q271" s="231"/>
      <c r="R271" s="231"/>
      <c r="S271" s="231"/>
      <c r="T271" s="231"/>
      <c r="U271" s="231"/>
      <c r="V271" s="231"/>
      <c r="W271" s="231"/>
      <c r="X271" s="231"/>
      <c r="Y271" s="231"/>
      <c r="Z271" s="231"/>
      <c r="AA271" s="231"/>
      <c r="AB271" s="231"/>
      <c r="AC271" s="231"/>
      <c r="AD271" s="231"/>
      <c r="AE271" s="231"/>
      <c r="AF271" s="231"/>
      <c r="AG271" s="231"/>
      <c r="AH271" s="231"/>
      <c r="AI271" s="231"/>
      <c r="AJ271" s="231"/>
      <c r="AK271" s="231"/>
      <c r="AL271" s="231"/>
    </row>
    <row r="272" spans="6:38" s="125" customFormat="1" ht="12.75">
      <c r="F272" s="231"/>
      <c r="G272" s="231"/>
      <c r="H272" s="231"/>
      <c r="I272" s="231"/>
      <c r="J272" s="231"/>
      <c r="K272" s="231"/>
      <c r="L272" s="231"/>
      <c r="M272" s="231"/>
      <c r="N272" s="231"/>
      <c r="O272" s="231"/>
      <c r="P272" s="231"/>
      <c r="Q272" s="231"/>
      <c r="R272" s="231"/>
      <c r="S272" s="231"/>
      <c r="T272" s="231"/>
      <c r="U272" s="231"/>
      <c r="V272" s="231"/>
      <c r="W272" s="231"/>
      <c r="X272" s="231"/>
      <c r="Y272" s="231"/>
      <c r="Z272" s="231"/>
      <c r="AA272" s="231"/>
      <c r="AB272" s="231"/>
      <c r="AC272" s="231"/>
      <c r="AD272" s="231"/>
      <c r="AE272" s="231"/>
      <c r="AF272" s="231"/>
      <c r="AG272" s="231"/>
      <c r="AH272" s="231"/>
      <c r="AI272" s="231"/>
      <c r="AJ272" s="231"/>
      <c r="AK272" s="231"/>
      <c r="AL272" s="231"/>
    </row>
    <row r="273" spans="6:38" s="125" customFormat="1" ht="12.75">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31"/>
      <c r="AD273" s="231"/>
      <c r="AE273" s="231"/>
      <c r="AF273" s="231"/>
      <c r="AG273" s="231"/>
      <c r="AH273" s="231"/>
      <c r="AI273" s="231"/>
      <c r="AJ273" s="231"/>
      <c r="AK273" s="231"/>
      <c r="AL273" s="231"/>
    </row>
    <row r="274" spans="6:38" s="125" customFormat="1" ht="12.75">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31"/>
      <c r="AD274" s="231"/>
      <c r="AE274" s="231"/>
      <c r="AF274" s="231"/>
      <c r="AG274" s="231"/>
      <c r="AH274" s="231"/>
      <c r="AI274" s="231"/>
      <c r="AJ274" s="231"/>
      <c r="AK274" s="231"/>
      <c r="AL274" s="231"/>
    </row>
    <row r="275" spans="6:38" s="125" customFormat="1" ht="12.75">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31"/>
      <c r="AD275" s="231"/>
      <c r="AE275" s="231"/>
      <c r="AF275" s="231"/>
      <c r="AG275" s="231"/>
      <c r="AH275" s="231"/>
      <c r="AI275" s="231"/>
      <c r="AJ275" s="231"/>
      <c r="AK275" s="231"/>
      <c r="AL275" s="231"/>
    </row>
    <row r="276" spans="6:38" s="125" customFormat="1" ht="12.75">
      <c r="F276" s="231"/>
      <c r="G276" s="231"/>
      <c r="H276" s="231"/>
      <c r="I276" s="231"/>
      <c r="J276" s="231"/>
      <c r="K276" s="231"/>
      <c r="L276" s="231"/>
      <c r="M276" s="231"/>
      <c r="N276" s="231"/>
      <c r="O276" s="231"/>
      <c r="P276" s="231"/>
      <c r="Q276" s="231"/>
      <c r="R276" s="231"/>
      <c r="S276" s="231"/>
      <c r="T276" s="231"/>
      <c r="U276" s="231"/>
      <c r="V276" s="231"/>
      <c r="W276" s="231"/>
      <c r="X276" s="231"/>
      <c r="Y276" s="231"/>
      <c r="Z276" s="231"/>
      <c r="AA276" s="231"/>
      <c r="AB276" s="231"/>
      <c r="AC276" s="231"/>
      <c r="AD276" s="231"/>
      <c r="AE276" s="231"/>
      <c r="AF276" s="231"/>
      <c r="AG276" s="231"/>
      <c r="AH276" s="231"/>
      <c r="AI276" s="231"/>
      <c r="AJ276" s="231"/>
      <c r="AK276" s="231"/>
      <c r="AL276" s="231"/>
    </row>
    <row r="277" spans="6:38" s="125" customFormat="1" ht="12.75">
      <c r="F277" s="231"/>
      <c r="G277" s="231"/>
      <c r="H277" s="231"/>
      <c r="I277" s="231"/>
      <c r="J277" s="231"/>
      <c r="K277" s="231"/>
      <c r="L277" s="231"/>
      <c r="M277" s="231"/>
      <c r="N277" s="231"/>
      <c r="O277" s="231"/>
      <c r="P277" s="231"/>
      <c r="Q277" s="231"/>
      <c r="R277" s="231"/>
      <c r="S277" s="231"/>
      <c r="T277" s="231"/>
      <c r="U277" s="231"/>
      <c r="V277" s="231"/>
      <c r="W277" s="231"/>
      <c r="X277" s="231"/>
      <c r="Y277" s="231"/>
      <c r="Z277" s="231"/>
      <c r="AA277" s="231"/>
      <c r="AB277" s="231"/>
      <c r="AC277" s="231"/>
      <c r="AD277" s="231"/>
      <c r="AE277" s="231"/>
      <c r="AF277" s="231"/>
      <c r="AG277" s="231"/>
      <c r="AH277" s="231"/>
      <c r="AI277" s="231"/>
      <c r="AJ277" s="231"/>
      <c r="AK277" s="231"/>
      <c r="AL277" s="231"/>
    </row>
    <row r="278" spans="6:38" s="125" customFormat="1" ht="12.75">
      <c r="F278" s="231"/>
      <c r="G278" s="231"/>
      <c r="H278" s="231"/>
      <c r="I278" s="231"/>
      <c r="J278" s="231"/>
      <c r="K278" s="231"/>
      <c r="L278" s="231"/>
      <c r="M278" s="231"/>
      <c r="N278" s="231"/>
      <c r="O278" s="231"/>
      <c r="P278" s="231"/>
      <c r="Q278" s="231"/>
      <c r="R278" s="231"/>
      <c r="S278" s="231"/>
      <c r="T278" s="231"/>
      <c r="U278" s="231"/>
      <c r="V278" s="231"/>
      <c r="W278" s="231"/>
      <c r="X278" s="231"/>
      <c r="Y278" s="231"/>
      <c r="Z278" s="231"/>
      <c r="AA278" s="231"/>
      <c r="AB278" s="231"/>
      <c r="AC278" s="231"/>
      <c r="AD278" s="231"/>
      <c r="AE278" s="231"/>
      <c r="AF278" s="231"/>
      <c r="AG278" s="231"/>
      <c r="AH278" s="231"/>
      <c r="AI278" s="231"/>
      <c r="AJ278" s="231"/>
      <c r="AK278" s="231"/>
      <c r="AL278" s="231"/>
    </row>
    <row r="279" spans="6:38" s="125" customFormat="1" ht="12.75">
      <c r="F279" s="231"/>
      <c r="G279" s="231"/>
      <c r="H279" s="231"/>
      <c r="I279" s="231"/>
      <c r="J279" s="231"/>
      <c r="K279" s="231"/>
      <c r="L279" s="231"/>
      <c r="M279" s="231"/>
      <c r="N279" s="231"/>
      <c r="O279" s="231"/>
      <c r="P279" s="231"/>
      <c r="Q279" s="231"/>
      <c r="R279" s="231"/>
      <c r="S279" s="231"/>
      <c r="T279" s="231"/>
      <c r="U279" s="231"/>
      <c r="V279" s="231"/>
      <c r="W279" s="231"/>
      <c r="X279" s="231"/>
      <c r="Y279" s="231"/>
      <c r="Z279" s="231"/>
      <c r="AA279" s="231"/>
      <c r="AB279" s="231"/>
      <c r="AC279" s="231"/>
      <c r="AD279" s="231"/>
      <c r="AE279" s="231"/>
      <c r="AF279" s="231"/>
      <c r="AG279" s="231"/>
      <c r="AH279" s="231"/>
      <c r="AI279" s="231"/>
      <c r="AJ279" s="231"/>
      <c r="AK279" s="231"/>
      <c r="AL279" s="231"/>
    </row>
  </sheetData>
  <sheetProtection password="8D61" sheet="1" objects="1" scenarios="1"/>
  <printOptions horizontalCentered="1" verticalCentered="1"/>
  <pageMargins left="0" right="0" top="0" bottom="0" header="0.5" footer="0.5"/>
  <pageSetup horizontalDpi="300" verticalDpi="300" orientation="landscape" r:id="rId2"/>
  <headerFooter alignWithMargins="0">
    <oddHeader>&amp;C&amp;"Geneva,Bold"&amp;20WJ III™   Achievement Clusters by Levels</oddHeader>
    <oddFooter>&amp;L&amp;8Woodcock-Johnson III by Richard W. Woodcock, Kevin S. McGrew, and Nancy Mather © Riverside Publishing, 2001.
All rights Reserved&amp;R&amp;8
© Template created by Ron Dumont and John Willis</oddFooter>
  </headerFooter>
  <drawing r:id="rId1"/>
</worksheet>
</file>

<file path=xl/worksheets/sheet13.xml><?xml version="1.0" encoding="utf-8"?>
<worksheet xmlns="http://schemas.openxmlformats.org/spreadsheetml/2006/main" xmlns:r="http://schemas.openxmlformats.org/officeDocument/2006/relationships">
  <sheetPr>
    <tabColor indexed="29"/>
  </sheetPr>
  <dimension ref="A1:H84"/>
  <sheetViews>
    <sheetView showGridLines="0" zoomScalePageLayoutView="0" workbookViewId="0" topLeftCell="A31">
      <selection activeCell="D21" sqref="D21"/>
    </sheetView>
  </sheetViews>
  <sheetFormatPr defaultColWidth="8.75390625" defaultRowHeight="12.75"/>
  <cols>
    <col min="1" max="1" width="2.125" style="0" customWidth="1"/>
    <col min="2" max="2" width="55.625" style="0" customWidth="1"/>
    <col min="3" max="3" width="5.375" style="0" customWidth="1"/>
  </cols>
  <sheetData>
    <row r="1" spans="1:6" ht="15">
      <c r="A1" s="261" t="s">
        <v>277</v>
      </c>
      <c r="B1" s="261"/>
      <c r="C1" s="261"/>
      <c r="D1" s="261"/>
      <c r="E1" s="261"/>
      <c r="F1" s="261"/>
    </row>
    <row r="2" spans="2:4" ht="3" customHeight="1">
      <c r="B2" s="3"/>
      <c r="C2" s="3"/>
      <c r="D2" s="3"/>
    </row>
    <row r="3" spans="2:4" ht="12.75">
      <c r="B3" s="35" t="s">
        <v>365</v>
      </c>
      <c r="C3" s="3"/>
      <c r="D3" s="3"/>
    </row>
    <row r="4" spans="2:4" ht="12.75">
      <c r="B4" s="3" t="s">
        <v>12</v>
      </c>
      <c r="C4" s="75">
        <f>IF('WJ III ACH'!B9="","",'WJ III ACH'!B9)</f>
        <v>89</v>
      </c>
      <c r="D4" s="3" t="s">
        <v>13</v>
      </c>
    </row>
    <row r="5" spans="2:4" ht="12.75">
      <c r="B5" s="3" t="s">
        <v>14</v>
      </c>
      <c r="C5" s="75">
        <f>IF('WJ III ACH'!C12="","",'WJ III ACH'!C12)</f>
        <v>93</v>
      </c>
      <c r="D5" s="3" t="s">
        <v>15</v>
      </c>
    </row>
    <row r="6" spans="2:4" ht="12.75">
      <c r="B6" s="3" t="s">
        <v>16</v>
      </c>
      <c r="C6" s="75">
        <f>IF('WJ III ACH'!C9="","",'WJ III ACH'!C9)</f>
        <v>85</v>
      </c>
      <c r="D6" s="3" t="s">
        <v>276</v>
      </c>
    </row>
    <row r="7" spans="2:4" ht="12.75">
      <c r="B7" s="3" t="s">
        <v>17</v>
      </c>
      <c r="C7" s="75">
        <f>IF('WJ III ACH'!G12="","",'WJ III ACH'!G12)</f>
        <v>109</v>
      </c>
      <c r="D7" s="3" t="s">
        <v>18</v>
      </c>
    </row>
    <row r="8" spans="2:4" ht="12.75">
      <c r="B8" s="3" t="s">
        <v>19</v>
      </c>
      <c r="C8" s="75">
        <f>IF('WJ III ACH'!J9="","",'WJ III ACH'!J9)</f>
        <v>93</v>
      </c>
      <c r="D8" s="3" t="s">
        <v>20</v>
      </c>
    </row>
    <row r="9" spans="2:4" ht="3" customHeight="1">
      <c r="B9" s="3"/>
      <c r="C9" s="8"/>
      <c r="D9" s="3"/>
    </row>
    <row r="10" spans="2:4" ht="12.75">
      <c r="B10" s="35" t="s">
        <v>21</v>
      </c>
      <c r="C10" s="8"/>
      <c r="D10" s="3"/>
    </row>
    <row r="11" spans="2:4" ht="12.75">
      <c r="B11" s="3" t="s">
        <v>22</v>
      </c>
      <c r="C11" s="75">
        <f>IF('WJ III ACH'!D12="","",'WJ III ACH'!D12)</f>
        <v>99</v>
      </c>
      <c r="D11" s="3" t="s">
        <v>23</v>
      </c>
    </row>
    <row r="12" spans="2:4" ht="12.75">
      <c r="B12" s="3" t="s">
        <v>24</v>
      </c>
      <c r="C12" s="75">
        <f>IF('WJ III COG'!B9="","",'WJ III COG'!B9)</f>
        <v>115</v>
      </c>
      <c r="D12" s="3" t="s">
        <v>25</v>
      </c>
    </row>
    <row r="13" spans="2:4" ht="3.75" customHeight="1">
      <c r="B13" s="3"/>
      <c r="C13" s="8"/>
      <c r="D13" s="3"/>
    </row>
    <row r="14" spans="2:4" ht="12.75">
      <c r="B14" s="35" t="s">
        <v>26</v>
      </c>
      <c r="C14" s="8"/>
      <c r="D14" s="3"/>
    </row>
    <row r="15" spans="2:4" ht="12.75">
      <c r="B15" s="3" t="s">
        <v>24</v>
      </c>
      <c r="C15" s="75">
        <f>IF('WJ III COG'!B9="","",'WJ III COG'!B9)</f>
        <v>115</v>
      </c>
      <c r="D15" s="3" t="s">
        <v>25</v>
      </c>
    </row>
    <row r="16" spans="2:4" ht="12.75">
      <c r="B16" s="3" t="s">
        <v>27</v>
      </c>
      <c r="C16" s="75">
        <f>IF('WJ III ACH'!G12="","",'WJ III ACH'!G12)</f>
        <v>109</v>
      </c>
      <c r="D16" s="3" t="s">
        <v>18</v>
      </c>
    </row>
    <row r="17" spans="2:4" ht="12.75">
      <c r="B17" s="3" t="s">
        <v>28</v>
      </c>
      <c r="C17" s="75">
        <f>IF('WJ III ACH'!E12="","",'WJ III ACH'!E12)</f>
        <v>113</v>
      </c>
      <c r="D17" s="3" t="s">
        <v>29</v>
      </c>
    </row>
    <row r="18" spans="2:4" ht="12.75">
      <c r="B18" s="3" t="s">
        <v>30</v>
      </c>
      <c r="C18" s="75">
        <f>IF('WJ III ACH'!J9="","",'WJ III ACH'!J9)</f>
        <v>93</v>
      </c>
      <c r="D18" s="3" t="s">
        <v>31</v>
      </c>
    </row>
    <row r="19" spans="2:4" ht="2.25" customHeight="1">
      <c r="B19" s="3"/>
      <c r="C19" s="7"/>
      <c r="D19" s="3"/>
    </row>
    <row r="20" spans="2:4" ht="12.75">
      <c r="B20" s="35" t="s">
        <v>32</v>
      </c>
      <c r="C20" s="7"/>
      <c r="D20" s="3"/>
    </row>
    <row r="21" spans="2:4" ht="12.75">
      <c r="B21" s="3" t="s">
        <v>33</v>
      </c>
      <c r="C21" s="75">
        <f>IF('WJ III COG'!C9="","",'WJ III COG'!C9)</f>
        <v>74</v>
      </c>
      <c r="D21" s="3" t="s">
        <v>34</v>
      </c>
    </row>
    <row r="22" spans="2:4" ht="12.75">
      <c r="B22" s="3" t="s">
        <v>35</v>
      </c>
      <c r="C22" s="75">
        <f>IF('WJ III COG'!K9="","",'WJ III COG'!K9)</f>
        <v>47</v>
      </c>
      <c r="D22" s="3" t="s">
        <v>36</v>
      </c>
    </row>
    <row r="23" spans="2:4" ht="3" customHeight="1">
      <c r="B23" s="3"/>
      <c r="C23" s="7"/>
      <c r="D23" s="3"/>
    </row>
    <row r="24" spans="2:4" ht="12.75">
      <c r="B24" s="35" t="s">
        <v>37</v>
      </c>
      <c r="C24" s="7"/>
      <c r="D24" s="3"/>
    </row>
    <row r="25" spans="2:4" ht="12.75">
      <c r="B25" s="3" t="s">
        <v>38</v>
      </c>
      <c r="C25" s="75">
        <f>IF('WJ III COG'!E9="","",'WJ III COG'!E9)</f>
        <v>122</v>
      </c>
      <c r="D25" s="3" t="s">
        <v>39</v>
      </c>
    </row>
    <row r="26" spans="2:4" ht="12.75">
      <c r="B26" s="3" t="s">
        <v>40</v>
      </c>
      <c r="C26" s="75">
        <f>IF('WJ III COG'!I9="","",'WJ III COG'!I9)</f>
        <v>115</v>
      </c>
      <c r="D26" s="3" t="s">
        <v>41</v>
      </c>
    </row>
    <row r="27" spans="2:4" ht="12.75">
      <c r="B27" s="3" t="s">
        <v>42</v>
      </c>
      <c r="C27" s="75">
        <f>IF('WJ III ACH'!K12="","",'WJ III ACH'!K12)</f>
        <v>97</v>
      </c>
      <c r="D27" s="3" t="s">
        <v>43</v>
      </c>
    </row>
    <row r="28" spans="2:4" ht="12.75">
      <c r="B28" s="3" t="s">
        <v>44</v>
      </c>
      <c r="C28" s="75">
        <f>IF('WJ III COG'!C13="","",'WJ III COG'!C13)</f>
        <v>117</v>
      </c>
      <c r="D28" s="3" t="s">
        <v>56</v>
      </c>
    </row>
    <row r="29" spans="2:4" ht="12.75">
      <c r="B29" s="3" t="s">
        <v>57</v>
      </c>
      <c r="C29" s="75">
        <f>IF('WJ III COG'!I13="","",'WJ III COG'!I13)</f>
        <v>76</v>
      </c>
      <c r="D29" s="3" t="s">
        <v>58</v>
      </c>
    </row>
    <row r="30" spans="2:4" ht="3" customHeight="1">
      <c r="B30" s="3"/>
      <c r="C30" s="7"/>
      <c r="D30" s="3"/>
    </row>
    <row r="31" spans="2:4" ht="12.75">
      <c r="B31" s="35" t="s">
        <v>59</v>
      </c>
      <c r="C31" s="7"/>
      <c r="D31" s="3"/>
    </row>
    <row r="32" spans="2:4" ht="12.75">
      <c r="B32" s="3" t="s">
        <v>60</v>
      </c>
      <c r="C32" s="75">
        <f>IF('WJ III ACH'!C12="","",'WJ III ACH'!C12)</f>
        <v>93</v>
      </c>
      <c r="D32" s="3" t="s">
        <v>15</v>
      </c>
    </row>
    <row r="33" spans="2:4" ht="12.75">
      <c r="B33" s="3" t="s">
        <v>61</v>
      </c>
      <c r="C33" s="75">
        <f>IF('WJ III ACH'!J12="","",'WJ III ACH'!J12)</f>
        <v>77</v>
      </c>
      <c r="D33" s="3" t="s">
        <v>62</v>
      </c>
    </row>
    <row r="34" spans="2:4" ht="3.75" customHeight="1">
      <c r="B34" s="3"/>
      <c r="C34" s="7"/>
      <c r="D34" s="3"/>
    </row>
    <row r="35" spans="2:4" ht="12.75">
      <c r="B35" s="35" t="s">
        <v>63</v>
      </c>
      <c r="C35" s="7"/>
      <c r="D35" s="3"/>
    </row>
    <row r="36" spans="2:4" ht="12.75">
      <c r="B36" s="3" t="s">
        <v>64</v>
      </c>
      <c r="C36" s="75">
        <f>IF('WJ III ACH'!H9="","",'WJ III ACH'!H9)</f>
        <v>95</v>
      </c>
      <c r="D36" s="3" t="s">
        <v>274</v>
      </c>
    </row>
    <row r="37" spans="2:4" ht="12.75">
      <c r="B37" s="3" t="s">
        <v>61</v>
      </c>
      <c r="C37" s="75">
        <f>IF('WJ III ACH'!J12="","",'WJ III ACH'!J12)</f>
        <v>77</v>
      </c>
      <c r="D37" s="3" t="s">
        <v>62</v>
      </c>
    </row>
    <row r="38" spans="2:4" ht="12.75">
      <c r="B38" s="3" t="s">
        <v>275</v>
      </c>
      <c r="C38" s="75">
        <f>IF('WJ III ACH'!B9="","",'WJ III ACH'!B9)</f>
        <v>89</v>
      </c>
      <c r="D38" s="3" t="s">
        <v>13</v>
      </c>
    </row>
    <row r="39" spans="2:4" ht="12.75">
      <c r="B39" s="3" t="s">
        <v>60</v>
      </c>
      <c r="C39" s="75">
        <f>IF('WJ III ACH'!C12="","",'WJ III ACH'!C12)</f>
        <v>93</v>
      </c>
      <c r="D39" s="3" t="s">
        <v>15</v>
      </c>
    </row>
    <row r="40" ht="12" customHeight="1">
      <c r="B40" s="165" t="s">
        <v>410</v>
      </c>
    </row>
    <row r="41" spans="2:4" ht="12" customHeight="1">
      <c r="B41" s="163" t="s">
        <v>384</v>
      </c>
      <c r="C41" s="75">
        <f>IF(bd="","",bd)</f>
        <v>80</v>
      </c>
      <c r="D41" s="164" t="s">
        <v>385</v>
      </c>
    </row>
    <row r="42" spans="2:4" ht="12" customHeight="1">
      <c r="B42" s="163" t="s">
        <v>386</v>
      </c>
      <c r="C42" s="75">
        <f>IF('WJ III COG'!H13="","",'WJ III COG'!H13)</f>
        <v>120</v>
      </c>
      <c r="D42" s="164" t="s">
        <v>387</v>
      </c>
    </row>
    <row r="43" spans="2:4" ht="12" customHeight="1">
      <c r="B43" s="163" t="s">
        <v>388</v>
      </c>
      <c r="C43" s="75">
        <f>IF('WJ III ACH'!D9="","",'WJ III ACH'!D9)</f>
        <v>109</v>
      </c>
      <c r="D43" s="164" t="s">
        <v>389</v>
      </c>
    </row>
    <row r="44" spans="2:4" ht="12" customHeight="1">
      <c r="B44" s="163" t="s">
        <v>390</v>
      </c>
      <c r="C44" s="75">
        <f>IF('WJ III COG'!I13="","",'WJ III COG'!I13)</f>
        <v>76</v>
      </c>
      <c r="D44" s="164" t="s">
        <v>391</v>
      </c>
    </row>
    <row r="45" spans="2:4" ht="12" customHeight="1">
      <c r="B45" s="163" t="s">
        <v>392</v>
      </c>
      <c r="C45" s="75">
        <f>IF('WJ III COG'!C9="","",'WJ III COG'!C9)</f>
        <v>74</v>
      </c>
      <c r="D45" s="164" t="s">
        <v>34</v>
      </c>
    </row>
    <row r="46" spans="2:4" ht="12" customHeight="1">
      <c r="B46" s="163" t="s">
        <v>393</v>
      </c>
      <c r="C46" s="75">
        <f>IF('WJ III COG'!K9="","",'WJ III COG'!K9)</f>
        <v>47</v>
      </c>
      <c r="D46" s="164" t="s">
        <v>394</v>
      </c>
    </row>
    <row r="47" spans="2:4" ht="12" customHeight="1">
      <c r="B47" s="163" t="s">
        <v>395</v>
      </c>
      <c r="C47" s="75">
        <f>IF('WJ III ACH'!B12="","",'WJ III ACH'!B12)</f>
        <v>98</v>
      </c>
      <c r="D47" s="164" t="s">
        <v>396</v>
      </c>
    </row>
    <row r="48" spans="2:4" ht="12" customHeight="1">
      <c r="B48" s="163" t="s">
        <v>397</v>
      </c>
      <c r="C48" s="75">
        <f>IF('WJ III COG'!C13="","",'WJ III COG'!C13)</f>
        <v>117</v>
      </c>
      <c r="D48" s="164" t="s">
        <v>56</v>
      </c>
    </row>
    <row r="49" spans="2:4" ht="12" customHeight="1">
      <c r="B49" s="163" t="s">
        <v>398</v>
      </c>
      <c r="C49" s="75">
        <f>IF('WJ III COG'!B13="","",'WJ III COG'!B13)</f>
        <v>113</v>
      </c>
      <c r="D49" s="164" t="s">
        <v>399</v>
      </c>
    </row>
    <row r="50" spans="2:4" ht="12" customHeight="1">
      <c r="B50" s="163" t="s">
        <v>400</v>
      </c>
      <c r="C50" s="75">
        <f>IF('WJ III ACH'!I12="","",'WJ III ACH'!I12)</f>
        <v>102</v>
      </c>
      <c r="D50" s="164" t="s">
        <v>401</v>
      </c>
    </row>
    <row r="51" spans="2:4" ht="12" customHeight="1">
      <c r="B51" s="163" t="s">
        <v>402</v>
      </c>
      <c r="C51" s="75">
        <f>IF(pc="","",pc)</f>
        <v>115</v>
      </c>
      <c r="D51" s="164" t="s">
        <v>25</v>
      </c>
    </row>
    <row r="52" spans="2:4" ht="12" customHeight="1">
      <c r="B52" s="163" t="s">
        <v>403</v>
      </c>
      <c r="C52" s="75">
        <f>IF('WJ III ACH'!D12="","",'WJ III ACH'!D12)</f>
        <v>99</v>
      </c>
      <c r="D52" s="164" t="s">
        <v>23</v>
      </c>
    </row>
    <row r="53" spans="2:4" ht="12" customHeight="1">
      <c r="B53" s="163" t="s">
        <v>404</v>
      </c>
      <c r="C53" s="75">
        <f>IF(bd="","",bd)</f>
        <v>80</v>
      </c>
      <c r="D53" s="164" t="s">
        <v>385</v>
      </c>
    </row>
    <row r="54" spans="2:4" ht="12" customHeight="1">
      <c r="B54" s="163"/>
      <c r="C54" s="75">
        <f>IF('WJ III ACH'!C27="","",'WJ III ACH'!C27)</f>
        <v>92</v>
      </c>
      <c r="D54" s="164" t="s">
        <v>405</v>
      </c>
    </row>
    <row r="55" spans="2:4" ht="12" customHeight="1">
      <c r="B55" s="163" t="s">
        <v>406</v>
      </c>
      <c r="C55" s="75">
        <f>IF('WJ III ACH'!E9="","",'WJ III ACH'!E9)</f>
      </c>
      <c r="D55" s="164" t="s">
        <v>407</v>
      </c>
    </row>
    <row r="56" spans="2:4" ht="12" customHeight="1">
      <c r="B56" s="163" t="s">
        <v>408</v>
      </c>
      <c r="C56" s="75">
        <f>IF('WJ III COG'!D13="","",'WJ III COG'!D13)</f>
        <v>99</v>
      </c>
      <c r="D56" s="164" t="s">
        <v>409</v>
      </c>
    </row>
    <row r="57" spans="2:6" ht="12" customHeight="1">
      <c r="B57" s="35" t="s">
        <v>53</v>
      </c>
      <c r="C57" s="3"/>
      <c r="D57" s="3"/>
      <c r="E57" s="3"/>
      <c r="F57" s="3"/>
    </row>
    <row r="58" spans="2:6" ht="12" customHeight="1">
      <c r="B58" s="35" t="s">
        <v>432</v>
      </c>
      <c r="C58" s="75">
        <f>IF('WJ III COG'!F13="","",'WJ III COG'!F13)</f>
        <v>107</v>
      </c>
      <c r="D58" s="3" t="s">
        <v>411</v>
      </c>
      <c r="E58" s="3"/>
      <c r="F58" s="3"/>
    </row>
    <row r="59" spans="2:6" ht="12" customHeight="1">
      <c r="B59" s="3" t="s">
        <v>412</v>
      </c>
      <c r="C59" s="75">
        <f>IF('WJ III COG'!F9="","",'WJ III COG'!F9)</f>
        <v>105</v>
      </c>
      <c r="D59" s="3" t="s">
        <v>413</v>
      </c>
      <c r="E59" s="3"/>
      <c r="F59" s="3"/>
    </row>
    <row r="60" spans="2:6" ht="12" customHeight="1">
      <c r="B60" s="35" t="s">
        <v>440</v>
      </c>
      <c r="C60" s="75">
        <f>IF('WJ III COG'!D21="","",'WJ III COG'!D21)</f>
      </c>
      <c r="D60" s="3"/>
      <c r="E60" s="3"/>
      <c r="F60" s="3"/>
    </row>
    <row r="61" spans="2:6" ht="12" customHeight="1">
      <c r="B61" s="35" t="s">
        <v>433</v>
      </c>
      <c r="C61" s="75">
        <f>IF('WJ III COG'!E13="","",'WJ III COG'!E13)</f>
        <v>101</v>
      </c>
      <c r="D61" s="3" t="s">
        <v>414</v>
      </c>
      <c r="E61" s="3"/>
      <c r="F61" s="3"/>
    </row>
    <row r="62" spans="2:6" ht="12" customHeight="1">
      <c r="B62" s="3" t="s">
        <v>415</v>
      </c>
      <c r="C62" s="75">
        <f>IF('WJ III COG'!E9="","",'WJ III COG'!E9)</f>
        <v>122</v>
      </c>
      <c r="D62" s="3" t="s">
        <v>39</v>
      </c>
      <c r="E62" s="3"/>
      <c r="F62" s="3"/>
    </row>
    <row r="63" spans="2:6" ht="12" customHeight="1">
      <c r="B63" s="3" t="s">
        <v>416</v>
      </c>
      <c r="C63" s="75">
        <f>IF('WJ III COG'!I9="","",'WJ III COG'!I9)</f>
        <v>115</v>
      </c>
      <c r="D63" s="3" t="s">
        <v>41</v>
      </c>
      <c r="E63" s="3"/>
      <c r="F63" s="3"/>
    </row>
    <row r="64" spans="2:6" ht="12" customHeight="1">
      <c r="B64" s="3" t="s">
        <v>417</v>
      </c>
      <c r="C64" s="75">
        <f>IF('WJ III ACH'!K12="","",'WJ III ACH'!K12)</f>
        <v>97</v>
      </c>
      <c r="D64" s="3" t="s">
        <v>43</v>
      </c>
      <c r="E64" s="3"/>
      <c r="F64" s="3"/>
    </row>
    <row r="65" spans="2:6" ht="12" customHeight="1">
      <c r="B65" s="35" t="s">
        <v>441</v>
      </c>
      <c r="C65" s="75"/>
      <c r="D65" s="3"/>
      <c r="E65" s="3"/>
      <c r="F65" s="3"/>
    </row>
    <row r="66" spans="2:6" ht="12" customHeight="1">
      <c r="B66" s="3" t="s">
        <v>418</v>
      </c>
      <c r="C66" s="75">
        <f>IF('WJ III ACH'!D12="","",'WJ III ACH'!D12)</f>
        <v>99</v>
      </c>
      <c r="D66" s="3" t="s">
        <v>23</v>
      </c>
      <c r="E66" s="3"/>
      <c r="F66" s="3"/>
    </row>
    <row r="67" spans="2:6" ht="12" customHeight="1">
      <c r="B67" s="3" t="s">
        <v>419</v>
      </c>
      <c r="C67" s="75">
        <f>IF('WJ III COG'!I13="","",'WJ III COG'!I13)</f>
        <v>76</v>
      </c>
      <c r="D67" s="3" t="s">
        <v>58</v>
      </c>
      <c r="E67" s="3"/>
      <c r="F67" s="3"/>
    </row>
    <row r="68" spans="2:6" ht="12" customHeight="1">
      <c r="B68" s="3" t="s">
        <v>420</v>
      </c>
      <c r="C68" s="75">
        <f>IF('WJ III COG'!C13="","",'WJ III COG'!C13)</f>
        <v>117</v>
      </c>
      <c r="D68" s="3" t="s">
        <v>56</v>
      </c>
      <c r="E68" s="3"/>
      <c r="F68" s="3"/>
    </row>
    <row r="69" spans="2:6" ht="12" customHeight="1">
      <c r="B69" s="3" t="s">
        <v>421</v>
      </c>
      <c r="C69" s="75">
        <f>IF(pc="","",pc)</f>
        <v>115</v>
      </c>
      <c r="D69" s="3" t="s">
        <v>25</v>
      </c>
      <c r="E69" s="3"/>
      <c r="F69" s="3"/>
    </row>
    <row r="70" spans="2:6" ht="12" customHeight="1">
      <c r="B70" s="3" t="s">
        <v>422</v>
      </c>
      <c r="C70" s="75">
        <f>IF('WJ III COG'!C9="","",'WJ III COG'!C9)</f>
        <v>74</v>
      </c>
      <c r="D70" s="3" t="s">
        <v>34</v>
      </c>
      <c r="E70" s="3"/>
      <c r="F70" s="3"/>
    </row>
    <row r="71" spans="2:6" ht="12" customHeight="1">
      <c r="B71" s="3" t="s">
        <v>423</v>
      </c>
      <c r="C71" s="75">
        <f>IF('WJ III COG'!K9="","",'WJ III COG'!K9)</f>
        <v>47</v>
      </c>
      <c r="D71" s="3" t="s">
        <v>394</v>
      </c>
      <c r="E71" s="3"/>
      <c r="F71" s="3"/>
    </row>
    <row r="72" spans="2:6" ht="12" customHeight="1">
      <c r="B72" s="35" t="s">
        <v>442</v>
      </c>
      <c r="C72" s="75"/>
      <c r="D72" s="3"/>
      <c r="E72" s="3"/>
      <c r="F72" s="3"/>
    </row>
    <row r="73" spans="2:6" ht="12" customHeight="1">
      <c r="B73" s="3" t="s">
        <v>424</v>
      </c>
      <c r="C73" s="75">
        <f>IF('WJ III COG'!F13="","",'WJ III COG'!F13)</f>
        <v>107</v>
      </c>
      <c r="D73" s="3" t="s">
        <v>411</v>
      </c>
      <c r="E73" s="3"/>
      <c r="F73" s="3"/>
    </row>
    <row r="74" spans="2:6" ht="12" customHeight="1">
      <c r="B74" s="3" t="s">
        <v>425</v>
      </c>
      <c r="C74" s="75">
        <f>IF('WJ III ACH'!K9="","",'WJ III ACH'!K9)</f>
        <v>99</v>
      </c>
      <c r="D74" s="3" t="s">
        <v>426</v>
      </c>
      <c r="E74" s="3"/>
      <c r="F74" s="3"/>
    </row>
    <row r="75" spans="2:6" ht="12" customHeight="1">
      <c r="B75" s="35" t="s">
        <v>443</v>
      </c>
      <c r="C75" s="75"/>
      <c r="D75" s="3"/>
      <c r="E75" s="3"/>
      <c r="F75" s="3"/>
    </row>
    <row r="76" spans="2:6" ht="12" customHeight="1">
      <c r="B76" s="35" t="s">
        <v>434</v>
      </c>
      <c r="C76" s="75">
        <f>IF('WJ III ACH'!C36="","",'WJ III ACH'!C36)</f>
        <v>90</v>
      </c>
      <c r="D76" s="3" t="s">
        <v>427</v>
      </c>
      <c r="E76" s="3"/>
      <c r="F76" s="3"/>
    </row>
    <row r="77" spans="2:6" ht="12" customHeight="1">
      <c r="B77" s="3" t="s">
        <v>428</v>
      </c>
      <c r="C77" s="75">
        <f>IF('WJ III ACH'!C37="","",'WJ III ACH'!C37)</f>
        <v>82</v>
      </c>
      <c r="D77" s="3" t="s">
        <v>429</v>
      </c>
      <c r="E77" s="3"/>
      <c r="F77" s="3"/>
    </row>
    <row r="78" spans="2:6" ht="12" customHeight="1">
      <c r="B78" s="3" t="s">
        <v>430</v>
      </c>
      <c r="C78" s="75">
        <f>IF('WJ III ACH'!C38="","",'WJ III ACH'!C38)</f>
        <v>96</v>
      </c>
      <c r="D78" s="3" t="s">
        <v>431</v>
      </c>
      <c r="E78" s="3"/>
      <c r="F78" s="3"/>
    </row>
    <row r="80" spans="2:8" ht="60" customHeight="1">
      <c r="B80" s="262" t="s">
        <v>435</v>
      </c>
      <c r="C80" s="262"/>
      <c r="D80" s="262"/>
      <c r="E80" s="262"/>
      <c r="F80" s="262"/>
      <c r="G80" s="262"/>
      <c r="H80" s="262"/>
    </row>
    <row r="81" spans="2:8" ht="108.75" customHeight="1">
      <c r="B81" s="262" t="s">
        <v>436</v>
      </c>
      <c r="C81" s="262"/>
      <c r="D81" s="262"/>
      <c r="E81" s="262"/>
      <c r="F81" s="262"/>
      <c r="G81" s="262"/>
      <c r="H81" s="262"/>
    </row>
    <row r="82" spans="2:8" ht="81" customHeight="1">
      <c r="B82" s="259" t="s">
        <v>437</v>
      </c>
      <c r="C82" s="260"/>
      <c r="D82" s="260"/>
      <c r="E82" s="260"/>
      <c r="F82" s="260"/>
      <c r="G82" s="260"/>
      <c r="H82" s="260"/>
    </row>
    <row r="83" spans="2:8" ht="49.5" customHeight="1">
      <c r="B83" s="259" t="s">
        <v>438</v>
      </c>
      <c r="C83" s="260"/>
      <c r="D83" s="260"/>
      <c r="E83" s="260"/>
      <c r="F83" s="260"/>
      <c r="G83" s="260"/>
      <c r="H83" s="260"/>
    </row>
    <row r="84" spans="2:8" ht="62.25" customHeight="1">
      <c r="B84" s="259" t="s">
        <v>439</v>
      </c>
      <c r="C84" s="260"/>
      <c r="D84" s="260"/>
      <c r="E84" s="260"/>
      <c r="F84" s="260"/>
      <c r="G84" s="260"/>
      <c r="H84" s="260"/>
    </row>
  </sheetData>
  <sheetProtection password="8D61" sheet="1" objects="1" scenarios="1"/>
  <mergeCells count="6">
    <mergeCell ref="B83:H83"/>
    <mergeCell ref="B84:H84"/>
    <mergeCell ref="A1:F1"/>
    <mergeCell ref="B80:H80"/>
    <mergeCell ref="B81:H81"/>
    <mergeCell ref="B82:H82"/>
  </mergeCells>
  <printOptions horizontalCentered="1" verticalCentered="1"/>
  <pageMargins left="0" right="0" top="0" bottom="0" header="0.5" footer="0.5"/>
  <pageSetup horizontalDpi="300" verticalDpi="300" orientation="landscape" r:id="rId1"/>
  <headerFooter alignWithMargins="0">
    <oddHeader>&amp;C&amp;"Geneva,Bold"&amp;16WJ III™   Computer Template © 2001</oddHeader>
    <oddFooter>&amp;L&amp;8Woodcock-Johnson III by Richard W. Woodcock, Kevin S. McGrew, and Nancy Mather © Riverside Publishing, 2001.
All rights Reserved&amp;R&amp;8Page &amp;P
Template created by Ron Dumont and John Willis</oddFooter>
  </headerFooter>
  <rowBreaks count="2" manualBreakCount="2">
    <brk id="39" max="255" man="1"/>
    <brk id="78" max="255" man="1"/>
  </rowBreaks>
</worksheet>
</file>

<file path=xl/worksheets/sheet14.xml><?xml version="1.0" encoding="utf-8"?>
<worksheet xmlns="http://schemas.openxmlformats.org/spreadsheetml/2006/main" xmlns:r="http://schemas.openxmlformats.org/officeDocument/2006/relationships">
  <sheetPr>
    <tabColor indexed="29"/>
  </sheetPr>
  <dimension ref="A1:H378"/>
  <sheetViews>
    <sheetView showGridLines="0" zoomScalePageLayoutView="0" workbookViewId="0" topLeftCell="A85">
      <selection activeCell="E15" sqref="E15"/>
    </sheetView>
  </sheetViews>
  <sheetFormatPr defaultColWidth="9.00390625" defaultRowHeight="12.75"/>
  <cols>
    <col min="1" max="1" width="11.375" style="188" customWidth="1"/>
    <col min="2" max="2" width="4.875" style="0" bestFit="1" customWidth="1"/>
    <col min="3" max="3" width="15.25390625" style="0" customWidth="1"/>
    <col min="4" max="6" width="29.375" style="0" customWidth="1"/>
    <col min="8" max="8" width="10.875" style="0" customWidth="1"/>
  </cols>
  <sheetData>
    <row r="1" spans="1:8" ht="18" customHeight="1">
      <c r="A1" s="263" t="s">
        <v>444</v>
      </c>
      <c r="B1" s="263"/>
      <c r="C1" s="263"/>
      <c r="D1" s="263"/>
      <c r="E1" s="263"/>
      <c r="F1" s="263"/>
      <c r="G1" s="169"/>
      <c r="H1" s="169"/>
    </row>
    <row r="2" spans="1:8" ht="12.75" customHeight="1">
      <c r="A2" s="264" t="s">
        <v>445</v>
      </c>
      <c r="B2" s="264"/>
      <c r="C2" s="264"/>
      <c r="D2" s="264"/>
      <c r="E2" s="264"/>
      <c r="F2" s="264"/>
      <c r="G2" s="170"/>
      <c r="H2" s="170"/>
    </row>
    <row r="3" ht="3.75" customHeight="1"/>
    <row r="4" spans="1:6" ht="12.75">
      <c r="A4" s="181"/>
      <c r="B4" s="172"/>
      <c r="C4" s="172"/>
      <c r="D4" s="265"/>
      <c r="E4" s="265"/>
      <c r="F4" s="173" t="s">
        <v>472</v>
      </c>
    </row>
    <row r="5" spans="1:6" ht="15">
      <c r="A5" s="180" t="s">
        <v>446</v>
      </c>
      <c r="B5" s="180"/>
      <c r="C5" s="180" t="s">
        <v>447</v>
      </c>
      <c r="D5" s="266" t="s">
        <v>448</v>
      </c>
      <c r="E5" s="266"/>
      <c r="F5" s="174" t="s">
        <v>1</v>
      </c>
    </row>
    <row r="6" spans="1:6" ht="4.5" customHeight="1">
      <c r="A6" s="183"/>
      <c r="B6" s="173"/>
      <c r="C6" s="173"/>
      <c r="D6" s="173"/>
      <c r="E6" s="173"/>
      <c r="F6" s="174"/>
    </row>
    <row r="7" spans="1:6" ht="33.75">
      <c r="A7" s="181" t="s">
        <v>108</v>
      </c>
      <c r="B7" s="172" t="str">
        <f>"( "&amp;'WJ III ACH'!D12&amp;" )"</f>
        <v>( 99 )</v>
      </c>
      <c r="C7" s="172" t="s">
        <v>449</v>
      </c>
      <c r="D7" s="172" t="s">
        <v>473</v>
      </c>
      <c r="E7" s="172" t="s">
        <v>474</v>
      </c>
      <c r="F7" s="178" t="s">
        <v>475</v>
      </c>
    </row>
    <row r="8" spans="1:6" ht="22.5">
      <c r="A8" s="181" t="s">
        <v>0</v>
      </c>
      <c r="B8" s="172" t="str">
        <f>"( "&amp;pc&amp;" )"</f>
        <v>( 115 )</v>
      </c>
      <c r="C8" s="172"/>
      <c r="D8" s="172" t="s">
        <v>480</v>
      </c>
      <c r="E8" s="172" t="s">
        <v>481</v>
      </c>
      <c r="F8" s="172" t="s">
        <v>476</v>
      </c>
    </row>
    <row r="9" spans="1:6" ht="12.75">
      <c r="A9" s="184"/>
      <c r="B9" s="176"/>
      <c r="C9" s="172"/>
      <c r="F9" s="172" t="s">
        <v>477</v>
      </c>
    </row>
    <row r="10" spans="1:6" ht="22.5">
      <c r="A10" s="181"/>
      <c r="B10" s="172"/>
      <c r="C10" s="172"/>
      <c r="D10" s="172"/>
      <c r="E10" s="172"/>
      <c r="F10" s="178" t="s">
        <v>478</v>
      </c>
    </row>
    <row r="11" spans="1:6" ht="22.5">
      <c r="A11" s="181"/>
      <c r="B11" s="172"/>
      <c r="C11" s="172"/>
      <c r="D11" s="172"/>
      <c r="E11" s="172"/>
      <c r="F11" s="172" t="s">
        <v>479</v>
      </c>
    </row>
    <row r="12" spans="1:6" ht="6" customHeight="1">
      <c r="A12" s="181"/>
      <c r="B12" s="172"/>
      <c r="C12" s="172"/>
      <c r="D12" s="172"/>
      <c r="E12" s="172"/>
      <c r="F12" s="172"/>
    </row>
    <row r="13" spans="1:6" ht="6" customHeight="1">
      <c r="A13" s="185"/>
      <c r="B13" s="167"/>
      <c r="C13" s="167"/>
      <c r="D13" s="167"/>
      <c r="E13" s="167"/>
      <c r="F13" s="167"/>
    </row>
    <row r="14" spans="1:6" ht="6" customHeight="1">
      <c r="A14" s="181"/>
      <c r="B14" s="172"/>
      <c r="C14" s="172"/>
      <c r="D14" s="176"/>
      <c r="E14" s="176"/>
      <c r="F14" s="176"/>
    </row>
    <row r="15" spans="1:6" ht="33.75">
      <c r="A15" s="181" t="s">
        <v>482</v>
      </c>
      <c r="B15" s="172" t="str">
        <f>"( "&amp;'WJ III COG'!C13&amp;" )"</f>
        <v>( 117 )</v>
      </c>
      <c r="C15" s="172" t="s">
        <v>449</v>
      </c>
      <c r="D15" s="172" t="s">
        <v>484</v>
      </c>
      <c r="E15" s="172" t="s">
        <v>485</v>
      </c>
      <c r="F15" s="178" t="s">
        <v>486</v>
      </c>
    </row>
    <row r="16" spans="1:6" ht="22.5">
      <c r="A16" s="181" t="s">
        <v>483</v>
      </c>
      <c r="B16" s="172" t="str">
        <f>"( "&amp;'WJ III COG'!I13&amp;" )"</f>
        <v>( 76 )</v>
      </c>
      <c r="C16" s="172"/>
      <c r="D16" s="172" t="s">
        <v>493</v>
      </c>
      <c r="E16" s="172" t="s">
        <v>494</v>
      </c>
      <c r="F16" s="172" t="s">
        <v>487</v>
      </c>
    </row>
    <row r="17" spans="1:6" ht="22.5">
      <c r="A17" s="181" t="s">
        <v>108</v>
      </c>
      <c r="B17" s="172" t="str">
        <f>"( "&amp;'WJ III ACH'!D12&amp;" )"</f>
        <v>( 99 )</v>
      </c>
      <c r="C17" s="172"/>
      <c r="D17" s="172" t="s">
        <v>495</v>
      </c>
      <c r="E17" s="172" t="s">
        <v>496</v>
      </c>
      <c r="F17" s="178" t="s">
        <v>488</v>
      </c>
    </row>
    <row r="18" spans="1:6" ht="22.5">
      <c r="A18" s="181"/>
      <c r="B18" s="172"/>
      <c r="C18" s="172"/>
      <c r="D18" s="172" t="s">
        <v>497</v>
      </c>
      <c r="E18" s="172" t="s">
        <v>498</v>
      </c>
      <c r="F18" s="172" t="s">
        <v>489</v>
      </c>
    </row>
    <row r="19" spans="1:6" ht="25.5" customHeight="1">
      <c r="A19" s="184"/>
      <c r="B19" s="176"/>
      <c r="C19" s="172"/>
      <c r="D19" s="172"/>
      <c r="E19" s="172"/>
      <c r="F19" s="178" t="s">
        <v>490</v>
      </c>
    </row>
    <row r="20" spans="1:6" ht="22.5">
      <c r="A20" s="181"/>
      <c r="B20" s="172"/>
      <c r="C20" s="172"/>
      <c r="D20" s="172"/>
      <c r="E20" s="172"/>
      <c r="F20" s="172" t="s">
        <v>491</v>
      </c>
    </row>
    <row r="21" spans="1:6" ht="33.75">
      <c r="A21" s="181"/>
      <c r="B21" s="172"/>
      <c r="C21" s="177"/>
      <c r="D21" s="176"/>
      <c r="E21" s="176"/>
      <c r="F21" s="172" t="s">
        <v>492</v>
      </c>
    </row>
    <row r="22" spans="1:6" ht="5.25" customHeight="1">
      <c r="A22" s="181"/>
      <c r="B22" s="172"/>
      <c r="C22" s="172"/>
      <c r="D22" s="176"/>
      <c r="E22" s="176"/>
      <c r="F22" s="176"/>
    </row>
    <row r="23" spans="1:6" ht="6.75" customHeight="1">
      <c r="A23" s="185"/>
      <c r="B23" s="167"/>
      <c r="C23" s="167"/>
      <c r="D23" s="167"/>
      <c r="E23" s="167"/>
      <c r="F23" s="167"/>
    </row>
    <row r="24" spans="1:6" ht="6" customHeight="1">
      <c r="A24" s="181"/>
      <c r="B24" s="172"/>
      <c r="C24" s="172"/>
      <c r="D24" s="176"/>
      <c r="E24" s="176"/>
      <c r="F24" s="176"/>
    </row>
    <row r="25" spans="1:6" ht="22.5">
      <c r="A25" s="181" t="s">
        <v>470</v>
      </c>
      <c r="B25" s="172" t="str">
        <f>"( "&amp;s&amp;" )"</f>
        <v>( 122 )</v>
      </c>
      <c r="C25" s="172" t="s">
        <v>500</v>
      </c>
      <c r="D25" s="172" t="s">
        <v>501</v>
      </c>
      <c r="E25" s="172" t="s">
        <v>502</v>
      </c>
      <c r="F25" s="178" t="s">
        <v>503</v>
      </c>
    </row>
    <row r="26" spans="1:6" ht="22.5">
      <c r="A26" s="181" t="s">
        <v>469</v>
      </c>
      <c r="B26" s="172" t="str">
        <f>"( "&amp;'WJ III ACH'!K12&amp;" )"</f>
        <v>( 97 )</v>
      </c>
      <c r="C26" s="172"/>
      <c r="D26" s="172" t="s">
        <v>511</v>
      </c>
      <c r="E26" s="172" t="s">
        <v>512</v>
      </c>
      <c r="F26" s="172" t="s">
        <v>504</v>
      </c>
    </row>
    <row r="27" spans="1:6" ht="22.5">
      <c r="A27" s="181" t="s">
        <v>499</v>
      </c>
      <c r="B27" s="172" t="str">
        <f>"( "&amp;'WJ III COG'!I9&amp;" )"</f>
        <v>( 115 )</v>
      </c>
      <c r="C27" s="172"/>
      <c r="D27" s="172" t="s">
        <v>513</v>
      </c>
      <c r="E27" s="172" t="s">
        <v>514</v>
      </c>
      <c r="F27" s="179" t="s">
        <v>505</v>
      </c>
    </row>
    <row r="28" spans="1:6" ht="22.5">
      <c r="A28" s="181"/>
      <c r="B28" s="172"/>
      <c r="C28" s="172"/>
      <c r="D28" s="172"/>
      <c r="E28" s="172"/>
      <c r="F28" s="178" t="s">
        <v>506</v>
      </c>
    </row>
    <row r="29" spans="1:6" ht="12.75">
      <c r="A29" s="184"/>
      <c r="B29" s="176"/>
      <c r="C29" s="172"/>
      <c r="D29" s="172"/>
      <c r="E29" s="172"/>
      <c r="F29" s="172" t="s">
        <v>507</v>
      </c>
    </row>
    <row r="30" spans="1:6" ht="12.75">
      <c r="A30" s="181"/>
      <c r="B30" s="172"/>
      <c r="C30" s="172"/>
      <c r="D30" s="172"/>
      <c r="E30" s="172"/>
      <c r="F30" s="178" t="s">
        <v>508</v>
      </c>
    </row>
    <row r="31" spans="1:6" ht="33.75">
      <c r="A31" s="181"/>
      <c r="B31" s="172"/>
      <c r="C31" s="172"/>
      <c r="D31" s="172"/>
      <c r="E31" s="172"/>
      <c r="F31" s="172" t="s">
        <v>509</v>
      </c>
    </row>
    <row r="32" spans="1:6" ht="22.5">
      <c r="A32" s="181"/>
      <c r="B32" s="172"/>
      <c r="C32" s="172"/>
      <c r="D32" s="172"/>
      <c r="E32" s="172"/>
      <c r="F32" s="179" t="s">
        <v>510</v>
      </c>
    </row>
    <row r="33" spans="1:5" ht="6" customHeight="1">
      <c r="A33" s="181"/>
      <c r="B33" s="172"/>
      <c r="C33" s="172"/>
      <c r="D33" s="176"/>
      <c r="E33" s="176"/>
    </row>
    <row r="34" spans="1:6" ht="6" customHeight="1">
      <c r="A34" s="185"/>
      <c r="B34" s="167"/>
      <c r="C34" s="167"/>
      <c r="D34" s="167"/>
      <c r="E34" s="167"/>
      <c r="F34" s="167"/>
    </row>
    <row r="35" spans="1:6" ht="6" customHeight="1">
      <c r="A35" s="181"/>
      <c r="B35" s="172"/>
      <c r="C35" s="172"/>
      <c r="D35" s="176"/>
      <c r="E35" s="176"/>
      <c r="F35" s="179"/>
    </row>
    <row r="36" spans="1:6" ht="22.5">
      <c r="A36" s="181" t="s">
        <v>470</v>
      </c>
      <c r="B36" s="172" t="str">
        <f>"( "&amp;s&amp;" )"</f>
        <v>( 122 )</v>
      </c>
      <c r="C36" s="172" t="s">
        <v>517</v>
      </c>
      <c r="D36" s="172" t="s">
        <v>518</v>
      </c>
      <c r="E36" s="172" t="s">
        <v>519</v>
      </c>
      <c r="F36" s="178" t="s">
        <v>520</v>
      </c>
    </row>
    <row r="37" spans="1:6" ht="22.5">
      <c r="A37" s="181" t="s">
        <v>515</v>
      </c>
      <c r="B37" s="172" t="str">
        <f>"( "&amp;'WJ III ACH'!K12&amp;" )"</f>
        <v>( 97 )</v>
      </c>
      <c r="C37" s="172"/>
      <c r="D37" s="172" t="s">
        <v>522</v>
      </c>
      <c r="E37" s="172" t="s">
        <v>523</v>
      </c>
      <c r="F37" s="172" t="s">
        <v>521</v>
      </c>
    </row>
    <row r="38" spans="1:6" ht="22.5">
      <c r="A38" s="181" t="s">
        <v>516</v>
      </c>
      <c r="B38" s="172" t="str">
        <f>"( "&amp;'WJ III COG'!E13&amp;" )"</f>
        <v>( 101 )</v>
      </c>
      <c r="C38" s="172"/>
      <c r="D38" s="172"/>
      <c r="E38" s="172"/>
      <c r="F38" s="172"/>
    </row>
    <row r="39" spans="1:6" ht="6" customHeight="1">
      <c r="A39" s="184"/>
      <c r="B39" s="176"/>
      <c r="C39" s="172"/>
      <c r="D39" s="172"/>
      <c r="E39" s="172"/>
      <c r="F39" s="172"/>
    </row>
    <row r="40" spans="1:6" ht="6" customHeight="1">
      <c r="A40" s="185"/>
      <c r="B40" s="167"/>
      <c r="C40" s="167"/>
      <c r="D40" s="167"/>
      <c r="E40" s="167"/>
      <c r="F40" s="167"/>
    </row>
    <row r="41" spans="1:6" ht="6" customHeight="1">
      <c r="A41" s="184"/>
      <c r="B41" s="176"/>
      <c r="C41" s="172"/>
      <c r="D41" s="176"/>
      <c r="E41" s="176"/>
      <c r="F41" s="177"/>
    </row>
    <row r="42" spans="1:6" ht="33.75">
      <c r="A42" s="181" t="s">
        <v>450</v>
      </c>
      <c r="B42" s="172" t="str">
        <f>"( "&amp;pa&amp;" )"</f>
        <v>( 105 )</v>
      </c>
      <c r="C42" s="172" t="s">
        <v>451</v>
      </c>
      <c r="D42" s="172" t="s">
        <v>2</v>
      </c>
      <c r="E42" s="172" t="s">
        <v>3</v>
      </c>
      <c r="F42" s="178" t="s">
        <v>525</v>
      </c>
    </row>
    <row r="43" spans="1:6" ht="33.75">
      <c r="A43" s="181" t="s">
        <v>452</v>
      </c>
      <c r="B43" s="172" t="str">
        <f>"( "&amp;'WJ III COG'!F13&amp;" )"</f>
        <v>( 107 )</v>
      </c>
      <c r="C43" s="172" t="s">
        <v>453</v>
      </c>
      <c r="D43" s="172" t="s">
        <v>530</v>
      </c>
      <c r="E43" s="182" t="s">
        <v>531</v>
      </c>
      <c r="F43" s="172" t="s">
        <v>526</v>
      </c>
    </row>
    <row r="44" spans="1:6" ht="22.5">
      <c r="A44" s="181"/>
      <c r="B44" s="172"/>
      <c r="C44" s="172" t="s">
        <v>454</v>
      </c>
      <c r="D44" s="172" t="s">
        <v>532</v>
      </c>
      <c r="E44" s="172" t="s">
        <v>533</v>
      </c>
      <c r="F44" s="172" t="s">
        <v>527</v>
      </c>
    </row>
    <row r="45" spans="1:6" ht="22.5">
      <c r="A45" s="181"/>
      <c r="B45" s="172"/>
      <c r="C45" s="172" t="s">
        <v>524</v>
      </c>
      <c r="D45" s="172"/>
      <c r="E45" s="172"/>
      <c r="F45" s="178" t="s">
        <v>528</v>
      </c>
    </row>
    <row r="46" spans="1:6" ht="22.5">
      <c r="A46" s="184"/>
      <c r="B46" s="176"/>
      <c r="C46" s="176"/>
      <c r="D46" s="172"/>
      <c r="E46" s="172"/>
      <c r="F46" s="172" t="s">
        <v>529</v>
      </c>
    </row>
    <row r="47" spans="1:6" ht="6" customHeight="1">
      <c r="A47" s="181"/>
      <c r="B47" s="172"/>
      <c r="C47" s="172"/>
      <c r="D47" s="175"/>
      <c r="E47" s="175"/>
      <c r="F47" s="175"/>
    </row>
    <row r="48" spans="1:6" ht="6" customHeight="1">
      <c r="A48" s="185"/>
      <c r="B48" s="167"/>
      <c r="C48" s="167"/>
      <c r="D48" s="167"/>
      <c r="E48" s="167"/>
      <c r="F48" s="167"/>
    </row>
    <row r="49" spans="1:6" ht="6" customHeight="1">
      <c r="A49" s="181"/>
      <c r="B49" s="172"/>
      <c r="C49" s="175"/>
      <c r="D49" s="175"/>
      <c r="E49" s="175"/>
      <c r="F49" s="172"/>
    </row>
    <row r="50" spans="1:6" ht="39.75" customHeight="1">
      <c r="A50" s="181" t="s">
        <v>450</v>
      </c>
      <c r="B50" s="172" t="str">
        <f>"( "&amp;pa&amp;" )"</f>
        <v>( 105 )</v>
      </c>
      <c r="C50" s="172" t="s">
        <v>455</v>
      </c>
      <c r="D50" s="172" t="s">
        <v>535</v>
      </c>
      <c r="E50" s="172" t="s">
        <v>536</v>
      </c>
      <c r="F50" s="178" t="s">
        <v>537</v>
      </c>
    </row>
    <row r="51" spans="1:6" ht="56.25">
      <c r="A51" s="181" t="s">
        <v>113</v>
      </c>
      <c r="B51" s="172" t="str">
        <f>"( "&amp;'WJ III ACH'!K9&amp;" )"</f>
        <v>( 99 )</v>
      </c>
      <c r="C51" s="172" t="s">
        <v>534</v>
      </c>
      <c r="D51" s="172"/>
      <c r="E51" s="172"/>
      <c r="F51" s="172" t="s">
        <v>538</v>
      </c>
    </row>
    <row r="52" spans="1:6" ht="12.75">
      <c r="A52" s="184"/>
      <c r="B52" s="176"/>
      <c r="C52" s="176"/>
      <c r="D52" s="172"/>
      <c r="E52" s="172"/>
      <c r="F52" s="178" t="s">
        <v>539</v>
      </c>
    </row>
    <row r="53" spans="1:6" ht="22.5">
      <c r="A53" s="181"/>
      <c r="B53" s="172"/>
      <c r="C53" s="172"/>
      <c r="D53" s="172"/>
      <c r="E53" s="172"/>
      <c r="F53" s="172" t="s">
        <v>540</v>
      </c>
    </row>
    <row r="54" spans="1:6" ht="12.75">
      <c r="A54" s="181"/>
      <c r="B54" s="172"/>
      <c r="C54" s="172"/>
      <c r="D54" s="172"/>
      <c r="E54" s="172"/>
      <c r="F54" s="179" t="s">
        <v>541</v>
      </c>
    </row>
    <row r="55" spans="1:6" ht="6" customHeight="1">
      <c r="A55" s="181"/>
      <c r="B55" s="172"/>
      <c r="C55" s="172"/>
      <c r="D55" s="172"/>
      <c r="E55" s="172"/>
      <c r="F55" s="175"/>
    </row>
    <row r="56" spans="1:6" ht="6" customHeight="1">
      <c r="A56" s="185"/>
      <c r="B56" s="185"/>
      <c r="C56" s="185"/>
      <c r="D56" s="185"/>
      <c r="E56" s="185"/>
      <c r="F56" s="185"/>
    </row>
    <row r="57" spans="1:6" ht="6" customHeight="1">
      <c r="A57" s="181"/>
      <c r="B57" s="172"/>
      <c r="C57" s="172"/>
      <c r="D57" s="172"/>
      <c r="E57" s="172"/>
      <c r="F57" s="172"/>
    </row>
    <row r="58" spans="1:6" ht="22.5">
      <c r="A58" s="181" t="s">
        <v>452</v>
      </c>
      <c r="B58" s="172" t="str">
        <f>"( "&amp;'WJ III COG'!F13&amp;" )"</f>
        <v>( 107 )</v>
      </c>
      <c r="C58" s="172" t="s">
        <v>456</v>
      </c>
      <c r="D58" s="172" t="s">
        <v>542</v>
      </c>
      <c r="E58" s="172" t="s">
        <v>543</v>
      </c>
      <c r="F58" s="178" t="s">
        <v>544</v>
      </c>
    </row>
    <row r="59" spans="1:6" ht="22.5">
      <c r="A59" s="181" t="s">
        <v>457</v>
      </c>
      <c r="B59" s="172" t="str">
        <f>"( "&amp;'WJ III ACH'!F9&amp;" )"</f>
        <v>( 96 )</v>
      </c>
      <c r="C59" s="172" t="s">
        <v>458</v>
      </c>
      <c r="D59" s="172"/>
      <c r="E59" s="172"/>
      <c r="F59" s="172" t="s">
        <v>545</v>
      </c>
    </row>
    <row r="60" spans="1:6" ht="12.75">
      <c r="A60" s="184"/>
      <c r="B60" s="176"/>
      <c r="C60" s="176"/>
      <c r="D60" s="172"/>
      <c r="E60" s="172"/>
      <c r="F60" s="178" t="s">
        <v>546</v>
      </c>
    </row>
    <row r="61" spans="1:6" ht="45">
      <c r="A61" s="181"/>
      <c r="B61" s="172"/>
      <c r="C61" s="172"/>
      <c r="D61" s="172"/>
      <c r="E61" s="172"/>
      <c r="F61" s="172" t="s">
        <v>4</v>
      </c>
    </row>
    <row r="62" spans="1:6" ht="6" customHeight="1">
      <c r="A62" s="181"/>
      <c r="B62" s="172"/>
      <c r="C62" s="172"/>
      <c r="D62" s="172"/>
      <c r="E62" s="172"/>
      <c r="F62" s="172"/>
    </row>
    <row r="63" spans="1:6" ht="6" customHeight="1">
      <c r="A63" s="185"/>
      <c r="B63" s="185"/>
      <c r="C63" s="185"/>
      <c r="D63" s="185"/>
      <c r="E63" s="185"/>
      <c r="F63" s="185"/>
    </row>
    <row r="64" spans="1:6" ht="6" customHeight="1">
      <c r="A64" s="181"/>
      <c r="B64" s="172"/>
      <c r="C64" s="172"/>
      <c r="D64" s="172"/>
      <c r="E64" s="172"/>
      <c r="F64" s="175"/>
    </row>
    <row r="65" spans="1:6" ht="22.5">
      <c r="A65" s="181" t="s">
        <v>459</v>
      </c>
      <c r="B65" s="172" t="str">
        <f>"( "&amp;a&amp;" )"</f>
        <v>( 106 )</v>
      </c>
      <c r="C65" s="172" t="s">
        <v>547</v>
      </c>
      <c r="D65" s="172" t="s">
        <v>550</v>
      </c>
      <c r="E65" s="172" t="s">
        <v>551</v>
      </c>
      <c r="F65" s="178" t="s">
        <v>552</v>
      </c>
    </row>
    <row r="66" spans="1:6" ht="22.5">
      <c r="A66" s="181" t="s">
        <v>460</v>
      </c>
      <c r="B66" s="172" t="str">
        <f>"( "&amp;'WJ III COG'!G13&amp;" )"</f>
        <v>( 94 )</v>
      </c>
      <c r="C66" s="172" t="s">
        <v>548</v>
      </c>
      <c r="D66" s="172"/>
      <c r="E66" s="172"/>
      <c r="F66" s="172" t="s">
        <v>5</v>
      </c>
    </row>
    <row r="67" spans="1:6" ht="22.5">
      <c r="A67" s="181" t="s">
        <v>461</v>
      </c>
      <c r="B67" s="172" t="str">
        <f>"( "&amp;'WJ III COG'!K13&amp;" )"</f>
        <v>( 79 )</v>
      </c>
      <c r="C67" s="172" t="s">
        <v>549</v>
      </c>
      <c r="D67" s="172"/>
      <c r="E67" s="172"/>
      <c r="F67" s="172" t="s">
        <v>553</v>
      </c>
    </row>
    <row r="68" spans="1:6" ht="22.5">
      <c r="A68" s="181"/>
      <c r="B68" s="172"/>
      <c r="C68" s="172"/>
      <c r="D68" s="172"/>
      <c r="E68" s="172"/>
      <c r="F68" s="178" t="s">
        <v>554</v>
      </c>
    </row>
    <row r="69" spans="1:6" ht="12.75">
      <c r="A69" s="184"/>
      <c r="B69" s="176"/>
      <c r="C69" s="176"/>
      <c r="D69" s="172"/>
      <c r="E69" s="172"/>
      <c r="F69" s="172" t="s">
        <v>555</v>
      </c>
    </row>
    <row r="70" spans="1:6" ht="12.75">
      <c r="A70" s="181"/>
      <c r="B70" s="172"/>
      <c r="C70" s="172"/>
      <c r="D70" s="172"/>
      <c r="E70" s="172"/>
      <c r="F70" s="172" t="s">
        <v>556</v>
      </c>
    </row>
    <row r="71" spans="1:6" ht="6" customHeight="1">
      <c r="A71" s="181"/>
      <c r="B71" s="172"/>
      <c r="C71" s="172"/>
      <c r="D71" s="172"/>
      <c r="E71" s="172"/>
      <c r="F71" s="172"/>
    </row>
    <row r="72" spans="1:6" ht="6" customHeight="1">
      <c r="A72" s="185"/>
      <c r="B72" s="185"/>
      <c r="C72" s="185"/>
      <c r="D72" s="185"/>
      <c r="E72" s="185"/>
      <c r="F72" s="185"/>
    </row>
    <row r="73" spans="1:6" ht="6" customHeight="1">
      <c r="A73" s="181"/>
      <c r="B73" s="172"/>
      <c r="C73" s="172"/>
      <c r="D73" s="172"/>
      <c r="E73" s="172"/>
      <c r="F73" s="176"/>
    </row>
    <row r="74" spans="1:6" ht="33.75">
      <c r="A74" s="181" t="s">
        <v>459</v>
      </c>
      <c r="B74" s="172" t="str">
        <f>"( "&amp;a&amp;" )"</f>
        <v>( 106 )</v>
      </c>
      <c r="C74" s="172" t="s">
        <v>462</v>
      </c>
      <c r="D74" s="172" t="s">
        <v>557</v>
      </c>
      <c r="E74" s="172" t="s">
        <v>558</v>
      </c>
      <c r="F74" s="178" t="s">
        <v>559</v>
      </c>
    </row>
    <row r="75" spans="1:6" ht="22.5">
      <c r="A75" s="181" t="s">
        <v>463</v>
      </c>
      <c r="B75" s="172" t="str">
        <f>"( "&amp;bd&amp;" )"</f>
        <v>( 80 )</v>
      </c>
      <c r="C75" s="172"/>
      <c r="D75" s="172" t="s">
        <v>563</v>
      </c>
      <c r="E75" s="172" t="s">
        <v>564</v>
      </c>
      <c r="F75" s="172" t="s">
        <v>560</v>
      </c>
    </row>
    <row r="76" spans="1:6" ht="45">
      <c r="A76" s="181" t="s">
        <v>464</v>
      </c>
      <c r="B76" s="172" t="str">
        <f>"( "&amp;'WJ III COG'!J9&amp;" )"</f>
        <v>( 115 )</v>
      </c>
      <c r="C76" s="172"/>
      <c r="D76" s="176"/>
      <c r="E76" s="176"/>
      <c r="F76" s="172" t="s">
        <v>6</v>
      </c>
    </row>
    <row r="77" spans="1:6" ht="33.75">
      <c r="A77" s="181" t="s">
        <v>457</v>
      </c>
      <c r="B77" s="172" t="str">
        <f>"( "&amp;'WJ III ACH'!F9&amp;" )"</f>
        <v>( 96 )</v>
      </c>
      <c r="C77" s="172"/>
      <c r="D77" s="172"/>
      <c r="E77" s="172"/>
      <c r="F77" s="178" t="s">
        <v>561</v>
      </c>
    </row>
    <row r="78" spans="1:6" ht="22.5">
      <c r="A78" s="181" t="s">
        <v>112</v>
      </c>
      <c r="B78" s="172" t="str">
        <f>"( "&amp;'WJ III ACH'!G9&amp;" )"</f>
        <v>( 82 )</v>
      </c>
      <c r="C78" s="172"/>
      <c r="D78" s="172"/>
      <c r="E78" s="172"/>
      <c r="F78" s="172" t="s">
        <v>562</v>
      </c>
    </row>
    <row r="79" spans="1:6" ht="6" customHeight="1">
      <c r="A79" s="186"/>
      <c r="B79" s="175"/>
      <c r="C79" s="172"/>
      <c r="D79" s="172"/>
      <c r="E79" s="172"/>
      <c r="F79" s="175"/>
    </row>
    <row r="80" spans="1:6" ht="6" customHeight="1">
      <c r="A80" s="185"/>
      <c r="B80" s="185"/>
      <c r="C80" s="185"/>
      <c r="D80" s="185"/>
      <c r="E80" s="185"/>
      <c r="F80" s="185"/>
    </row>
    <row r="81" spans="1:6" ht="6" customHeight="1">
      <c r="A81" s="186"/>
      <c r="B81" s="175"/>
      <c r="C81" s="172"/>
      <c r="D81" s="172"/>
      <c r="E81" s="172"/>
      <c r="F81" s="172"/>
    </row>
    <row r="82" spans="1:6" ht="45">
      <c r="A82" s="181" t="s">
        <v>465</v>
      </c>
      <c r="B82" s="172" t="str">
        <f>"( "&amp;'WJ III COG'!H13&amp;" )"</f>
        <v>( 120 )</v>
      </c>
      <c r="C82" s="172" t="s">
        <v>466</v>
      </c>
      <c r="D82" s="172" t="s">
        <v>565</v>
      </c>
      <c r="E82" s="172" t="s">
        <v>566</v>
      </c>
      <c r="F82" s="178" t="s">
        <v>567</v>
      </c>
    </row>
    <row r="83" spans="1:6" ht="22.5">
      <c r="A83" s="181" t="s">
        <v>463</v>
      </c>
      <c r="B83" s="172" t="str">
        <f>"( "&amp;bd&amp;" )"</f>
        <v>( 80 )</v>
      </c>
      <c r="C83" s="172"/>
      <c r="D83" s="172" t="s">
        <v>573</v>
      </c>
      <c r="E83" s="172" t="s">
        <v>574</v>
      </c>
      <c r="F83" s="172" t="s">
        <v>568</v>
      </c>
    </row>
    <row r="84" spans="1:6" ht="33.75">
      <c r="A84" s="181" t="s">
        <v>464</v>
      </c>
      <c r="B84" s="172" t="str">
        <f>"( "&amp;'WJ III COG'!J9&amp;" )"</f>
        <v>( 115 )</v>
      </c>
      <c r="C84" s="172"/>
      <c r="D84" s="172"/>
      <c r="E84" s="172"/>
      <c r="F84" s="178" t="s">
        <v>569</v>
      </c>
    </row>
    <row r="85" spans="1:6" ht="12.75">
      <c r="A85" s="181"/>
      <c r="B85" s="172"/>
      <c r="C85" s="172"/>
      <c r="D85" s="172"/>
      <c r="E85" s="172"/>
      <c r="F85" s="172" t="s">
        <v>570</v>
      </c>
    </row>
    <row r="86" spans="1:6" ht="22.5">
      <c r="A86" s="184"/>
      <c r="B86" s="176"/>
      <c r="C86" s="172"/>
      <c r="D86" s="172"/>
      <c r="E86" s="172"/>
      <c r="F86" s="178" t="s">
        <v>571</v>
      </c>
    </row>
    <row r="87" spans="1:6" ht="22.5">
      <c r="A87" s="181"/>
      <c r="B87" s="172"/>
      <c r="C87" s="172"/>
      <c r="D87" s="172"/>
      <c r="E87" s="172"/>
      <c r="F87" s="172" t="s">
        <v>572</v>
      </c>
    </row>
    <row r="88" spans="1:5" ht="6" customHeight="1">
      <c r="A88" s="181"/>
      <c r="B88" s="172"/>
      <c r="C88" s="172"/>
      <c r="D88" s="172"/>
      <c r="E88" s="172"/>
    </row>
    <row r="89" spans="1:6" ht="6" customHeight="1">
      <c r="A89" s="185"/>
      <c r="B89" s="185"/>
      <c r="C89" s="185"/>
      <c r="D89" s="185"/>
      <c r="E89" s="185"/>
      <c r="F89" s="185"/>
    </row>
    <row r="90" spans="1:6" ht="6" customHeight="1">
      <c r="A90" s="181"/>
      <c r="B90" s="172"/>
      <c r="C90" s="172"/>
      <c r="D90" s="175"/>
      <c r="E90" s="175"/>
      <c r="F90" s="175"/>
    </row>
    <row r="91" spans="1:6" ht="22.5">
      <c r="A91" s="181" t="s">
        <v>107</v>
      </c>
      <c r="B91" s="172" t="str">
        <f>"( "&amp;'WJ III ACH'!E9&amp;" )"</f>
        <v>(  )</v>
      </c>
      <c r="C91" s="172" t="s">
        <v>467</v>
      </c>
      <c r="D91" s="172" t="s">
        <v>575</v>
      </c>
      <c r="E91" s="172" t="s">
        <v>576</v>
      </c>
      <c r="F91" s="178" t="s">
        <v>577</v>
      </c>
    </row>
    <row r="92" spans="1:6" ht="33.75">
      <c r="A92" s="181" t="s">
        <v>106</v>
      </c>
      <c r="B92" s="172" t="str">
        <f>"( "&amp;'WJ III ACH'!D9&amp;" )"</f>
        <v>( 109 )</v>
      </c>
      <c r="C92" s="172"/>
      <c r="D92" s="172" t="s">
        <v>582</v>
      </c>
      <c r="E92" s="172" t="s">
        <v>583</v>
      </c>
      <c r="F92" s="172" t="s">
        <v>578</v>
      </c>
    </row>
    <row r="93" spans="1:6" ht="45">
      <c r="A93" s="181" t="s">
        <v>109</v>
      </c>
      <c r="B93" s="172" t="str">
        <f>"( "&amp;'WJ III ACH'!E12&amp;" )"</f>
        <v>( 113 )</v>
      </c>
      <c r="C93" s="172"/>
      <c r="D93" s="172" t="s">
        <v>584</v>
      </c>
      <c r="E93" s="172" t="s">
        <v>586</v>
      </c>
      <c r="F93" s="172" t="s">
        <v>579</v>
      </c>
    </row>
    <row r="94" spans="1:6" ht="22.5">
      <c r="A94" s="181"/>
      <c r="B94" s="172"/>
      <c r="C94" s="172"/>
      <c r="D94" s="172" t="s">
        <v>585</v>
      </c>
      <c r="E94" s="172"/>
      <c r="F94" s="178" t="s">
        <v>580</v>
      </c>
    </row>
    <row r="95" spans="1:6" ht="22.5">
      <c r="A95" s="184"/>
      <c r="B95" s="176"/>
      <c r="C95" s="172"/>
      <c r="D95" s="176"/>
      <c r="E95" s="176"/>
      <c r="F95" s="172" t="s">
        <v>581</v>
      </c>
    </row>
    <row r="96" spans="1:6" ht="6" customHeight="1">
      <c r="A96" s="181"/>
      <c r="B96" s="172"/>
      <c r="C96" s="172"/>
      <c r="D96" s="175"/>
      <c r="E96" s="175"/>
      <c r="F96" s="175"/>
    </row>
    <row r="97" spans="1:6" ht="6" customHeight="1">
      <c r="A97" s="185"/>
      <c r="B97" s="185"/>
      <c r="C97" s="185"/>
      <c r="D97" s="185"/>
      <c r="E97" s="185"/>
      <c r="F97" s="185"/>
    </row>
    <row r="98" spans="1:6" ht="6" customHeight="1">
      <c r="A98" s="181"/>
      <c r="B98" s="172"/>
      <c r="C98" s="172"/>
      <c r="D98" s="175"/>
      <c r="E98" s="172"/>
      <c r="F98" s="172"/>
    </row>
    <row r="99" spans="1:6" ht="22.5">
      <c r="A99" s="181" t="s">
        <v>109</v>
      </c>
      <c r="B99" s="172" t="str">
        <f>"( "&amp;'WJ III ACH'!E12&amp;" )"</f>
        <v>( 113 )</v>
      </c>
      <c r="C99" s="172" t="s">
        <v>471</v>
      </c>
      <c r="D99" s="172" t="s">
        <v>587</v>
      </c>
      <c r="E99" s="172" t="s">
        <v>588</v>
      </c>
      <c r="F99" s="178" t="s">
        <v>589</v>
      </c>
    </row>
    <row r="100" spans="1:6" ht="12.75">
      <c r="A100" s="181" t="s">
        <v>106</v>
      </c>
      <c r="B100" s="172" t="str">
        <f>"( "&amp;'WJ III ACH'!D9&amp;" )"</f>
        <v>( 109 )</v>
      </c>
      <c r="C100" s="172"/>
      <c r="D100" s="172"/>
      <c r="E100" s="172"/>
      <c r="F100" s="172" t="s">
        <v>590</v>
      </c>
    </row>
    <row r="101" spans="1:6" ht="22.5">
      <c r="A101" s="181" t="s">
        <v>364</v>
      </c>
      <c r="B101" s="172" t="str">
        <f>"( "&amp;'WJ III ACH'!J9&amp;" )"</f>
        <v>( 93 )</v>
      </c>
      <c r="C101" s="172"/>
      <c r="D101" s="172"/>
      <c r="E101" s="172"/>
      <c r="F101" s="178" t="s">
        <v>567</v>
      </c>
    </row>
    <row r="102" spans="1:6" ht="12.75">
      <c r="A102" s="184"/>
      <c r="B102" s="176"/>
      <c r="C102" s="172"/>
      <c r="D102" s="172"/>
      <c r="E102" s="172"/>
      <c r="F102" s="172" t="s">
        <v>591</v>
      </c>
    </row>
    <row r="103" spans="1:6" ht="6" customHeight="1">
      <c r="A103" s="181"/>
      <c r="B103" s="172"/>
      <c r="C103" s="172"/>
      <c r="D103" s="172"/>
      <c r="E103" s="172"/>
      <c r="F103" s="175"/>
    </row>
    <row r="104" spans="1:6" ht="6" customHeight="1">
      <c r="A104" s="185"/>
      <c r="B104" s="185"/>
      <c r="C104" s="185"/>
      <c r="D104" s="185"/>
      <c r="E104" s="185"/>
      <c r="F104" s="185"/>
    </row>
    <row r="105" spans="1:6" ht="6" customHeight="1">
      <c r="A105" s="181"/>
      <c r="B105" s="172"/>
      <c r="C105" s="172"/>
      <c r="D105" s="172"/>
      <c r="E105" s="172"/>
      <c r="F105" s="172"/>
    </row>
    <row r="106" spans="1:6" ht="33.75">
      <c r="A106" s="181" t="s">
        <v>104</v>
      </c>
      <c r="B106" s="172" t="str">
        <f>"( "&amp;'WJ III ACH'!C12&amp;" )"</f>
        <v>( 93 )</v>
      </c>
      <c r="C106" s="172" t="s">
        <v>592</v>
      </c>
      <c r="D106" s="172" t="s">
        <v>593</v>
      </c>
      <c r="E106" s="172" t="s">
        <v>594</v>
      </c>
      <c r="F106" s="178" t="s">
        <v>595</v>
      </c>
    </row>
    <row r="107" spans="1:6" ht="22.5">
      <c r="A107" s="181" t="s">
        <v>468</v>
      </c>
      <c r="B107" s="172" t="str">
        <f>"( "&amp;'WJ III ACH'!B9&amp;" )"</f>
        <v>( 89 )</v>
      </c>
      <c r="C107" s="172"/>
      <c r="D107" s="172"/>
      <c r="E107" s="172"/>
      <c r="F107" s="172" t="s">
        <v>7</v>
      </c>
    </row>
    <row r="108" spans="1:6" ht="22.5">
      <c r="A108" s="181" t="s">
        <v>103</v>
      </c>
      <c r="B108" s="172" t="str">
        <f>"( "&amp;'WJ III ACH'!C9&amp;" )"</f>
        <v>( 85 )</v>
      </c>
      <c r="C108" s="172"/>
      <c r="D108" s="172"/>
      <c r="E108" s="172"/>
      <c r="F108" s="178" t="s">
        <v>596</v>
      </c>
    </row>
    <row r="109" spans="1:6" ht="22.5">
      <c r="A109" s="181" t="s">
        <v>364</v>
      </c>
      <c r="B109" s="172" t="str">
        <f>"( "&amp;'WJ III ACH'!J9&amp;" )"</f>
        <v>( 93 )</v>
      </c>
      <c r="C109" s="172"/>
      <c r="D109" s="172"/>
      <c r="E109" s="172"/>
      <c r="F109" s="172" t="s">
        <v>597</v>
      </c>
    </row>
    <row r="110" spans="1:6" ht="12.75">
      <c r="A110" s="184"/>
      <c r="B110" s="176"/>
      <c r="C110" s="172"/>
      <c r="D110" s="172"/>
      <c r="E110" s="172"/>
      <c r="F110" s="178" t="s">
        <v>598</v>
      </c>
    </row>
    <row r="111" spans="1:6" ht="33.75">
      <c r="A111" s="181"/>
      <c r="B111" s="172"/>
      <c r="C111" s="172"/>
      <c r="D111" s="172"/>
      <c r="E111" s="172"/>
      <c r="F111" s="172" t="s">
        <v>8</v>
      </c>
    </row>
    <row r="112" spans="1:6" ht="12.75">
      <c r="A112" s="184"/>
      <c r="B112" s="176"/>
      <c r="C112" s="172"/>
      <c r="D112" s="172"/>
      <c r="E112" s="172"/>
      <c r="F112" s="178" t="s">
        <v>567</v>
      </c>
    </row>
    <row r="113" spans="1:6" ht="33.75">
      <c r="A113" s="181"/>
      <c r="B113" s="172"/>
      <c r="C113" s="172"/>
      <c r="D113" s="172"/>
      <c r="E113" s="172"/>
      <c r="F113" s="172" t="s">
        <v>599</v>
      </c>
    </row>
    <row r="114" spans="1:6" ht="6" customHeight="1">
      <c r="A114" s="181"/>
      <c r="B114" s="172"/>
      <c r="C114" s="172"/>
      <c r="D114" s="172"/>
      <c r="E114" s="172"/>
      <c r="F114" s="176"/>
    </row>
    <row r="115" spans="1:6" ht="6" customHeight="1">
      <c r="A115" s="185"/>
      <c r="B115" s="185"/>
      <c r="C115" s="185"/>
      <c r="D115" s="185"/>
      <c r="E115" s="185"/>
      <c r="F115" s="185"/>
    </row>
    <row r="116" spans="1:6" ht="6" customHeight="1">
      <c r="A116" s="181"/>
      <c r="B116" s="172"/>
      <c r="C116" s="172"/>
      <c r="D116" s="172"/>
      <c r="E116" s="172"/>
      <c r="F116" s="176"/>
    </row>
    <row r="117" spans="1:6" ht="22.5">
      <c r="A117" s="181" t="s">
        <v>457</v>
      </c>
      <c r="B117" s="172" t="str">
        <f>"( "&amp;'WJ III ACH'!F9&amp;" )"</f>
        <v>( 96 )</v>
      </c>
      <c r="C117" s="172" t="s">
        <v>600</v>
      </c>
      <c r="D117" s="172" t="s">
        <v>602</v>
      </c>
      <c r="E117" s="172"/>
      <c r="F117" s="178" t="s">
        <v>605</v>
      </c>
    </row>
    <row r="118" spans="1:6" ht="33.75">
      <c r="A118" s="181" t="s">
        <v>112</v>
      </c>
      <c r="B118" s="172" t="str">
        <f>"( "&amp;'WJ III ACH'!G9&amp;" )"</f>
        <v>( 82 )</v>
      </c>
      <c r="C118" s="172" t="s">
        <v>601</v>
      </c>
      <c r="D118" s="172" t="s">
        <v>603</v>
      </c>
      <c r="E118" s="172"/>
      <c r="F118" s="172" t="s">
        <v>606</v>
      </c>
    </row>
    <row r="119" spans="1:6" ht="22.5">
      <c r="A119" s="181" t="s">
        <v>113</v>
      </c>
      <c r="B119" s="172" t="str">
        <f>"( "&amp;'WJ III ACH'!K9&amp;" )"</f>
        <v>( 99 )</v>
      </c>
      <c r="C119" s="176"/>
      <c r="D119" s="172" t="s">
        <v>604</v>
      </c>
      <c r="E119" s="172"/>
      <c r="F119" s="179" t="s">
        <v>607</v>
      </c>
    </row>
    <row r="120" spans="1:6" ht="22.5">
      <c r="A120" s="181"/>
      <c r="B120" s="172"/>
      <c r="C120" s="172"/>
      <c r="D120" s="172"/>
      <c r="E120" s="172"/>
      <c r="F120" s="178" t="s">
        <v>608</v>
      </c>
    </row>
    <row r="121" spans="1:6" ht="12.75">
      <c r="A121" s="184"/>
      <c r="B121" s="176"/>
      <c r="C121" s="172"/>
      <c r="D121" s="176"/>
      <c r="E121" s="172"/>
      <c r="F121" s="172" t="s">
        <v>609</v>
      </c>
    </row>
    <row r="122" spans="1:6" ht="22.5">
      <c r="A122" s="181"/>
      <c r="B122" s="172"/>
      <c r="C122" s="172"/>
      <c r="D122" s="172"/>
      <c r="E122" s="172"/>
      <c r="F122" s="178" t="s">
        <v>610</v>
      </c>
    </row>
    <row r="123" spans="1:6" ht="60" customHeight="1">
      <c r="A123" s="181"/>
      <c r="B123" s="172"/>
      <c r="C123" s="172"/>
      <c r="D123" s="172"/>
      <c r="E123" s="172"/>
      <c r="F123" s="172" t="s">
        <v>9</v>
      </c>
    </row>
    <row r="124" spans="1:6" ht="12.75">
      <c r="A124" s="181"/>
      <c r="B124" s="172"/>
      <c r="C124" s="172"/>
      <c r="D124" s="172"/>
      <c r="E124" s="172"/>
      <c r="F124" s="178" t="s">
        <v>567</v>
      </c>
    </row>
    <row r="125" spans="1:6" ht="33.75">
      <c r="A125" s="181"/>
      <c r="B125" s="172"/>
      <c r="C125" s="172"/>
      <c r="D125" s="172"/>
      <c r="E125" s="172"/>
      <c r="F125" s="172" t="s">
        <v>611</v>
      </c>
    </row>
    <row r="126" spans="1:6" ht="12.75">
      <c r="A126" s="187"/>
      <c r="B126" s="168"/>
      <c r="C126" s="168"/>
      <c r="D126" s="168"/>
      <c r="E126" s="166"/>
      <c r="F126" s="166"/>
    </row>
    <row r="127" spans="1:6" ht="12.75">
      <c r="A127" s="187"/>
      <c r="B127" s="168"/>
      <c r="C127" s="168"/>
      <c r="D127" s="168"/>
      <c r="E127" s="166"/>
      <c r="F127" s="171"/>
    </row>
    <row r="128" spans="1:6" ht="12.75">
      <c r="A128" s="187"/>
      <c r="B128" s="168"/>
      <c r="C128" s="168"/>
      <c r="D128" s="168"/>
      <c r="E128" s="166"/>
      <c r="F128" s="171"/>
    </row>
    <row r="129" spans="1:6" ht="12.75">
      <c r="A129" s="61"/>
      <c r="B129" s="1"/>
      <c r="C129" s="1"/>
      <c r="D129" s="1"/>
      <c r="E129" s="1"/>
      <c r="F129" s="1"/>
    </row>
    <row r="130" spans="1:6" ht="12.75">
      <c r="A130" s="61"/>
      <c r="B130" s="1"/>
      <c r="C130" s="1"/>
      <c r="D130" s="1"/>
      <c r="E130" s="1"/>
      <c r="F130" s="1"/>
    </row>
    <row r="131" spans="1:6" ht="12.75">
      <c r="A131" s="61"/>
      <c r="B131" s="1"/>
      <c r="C131" s="1"/>
      <c r="D131" s="1"/>
      <c r="E131" s="1"/>
      <c r="F131" s="1"/>
    </row>
    <row r="132" spans="1:6" ht="12.75">
      <c r="A132" s="61"/>
      <c r="B132" s="1"/>
      <c r="C132" s="1"/>
      <c r="D132" s="1"/>
      <c r="E132" s="1"/>
      <c r="F132" s="1"/>
    </row>
    <row r="133" spans="1:6" ht="12.75">
      <c r="A133" s="61"/>
      <c r="B133" s="1"/>
      <c r="C133" s="1"/>
      <c r="D133" s="1"/>
      <c r="E133" s="1"/>
      <c r="F133" s="1"/>
    </row>
    <row r="134" spans="1:6" ht="12.75">
      <c r="A134" s="61"/>
      <c r="B134" s="1"/>
      <c r="C134" s="1"/>
      <c r="D134" s="1"/>
      <c r="E134" s="1"/>
      <c r="F134" s="1"/>
    </row>
    <row r="135" spans="1:6" ht="12.75">
      <c r="A135" s="61"/>
      <c r="B135" s="1"/>
      <c r="C135" s="1"/>
      <c r="D135" s="1"/>
      <c r="E135" s="1"/>
      <c r="F135" s="1"/>
    </row>
    <row r="136" spans="1:6" ht="12.75">
      <c r="A136" s="61"/>
      <c r="B136" s="1"/>
      <c r="C136" s="1"/>
      <c r="D136" s="1"/>
      <c r="E136" s="1"/>
      <c r="F136" s="1"/>
    </row>
    <row r="137" spans="1:6" ht="12.75">
      <c r="A137" s="61"/>
      <c r="B137" s="1"/>
      <c r="C137" s="1"/>
      <c r="D137" s="1"/>
      <c r="E137" s="1"/>
      <c r="F137" s="1"/>
    </row>
    <row r="138" spans="1:6" ht="12.75">
      <c r="A138" s="61"/>
      <c r="B138" s="1"/>
      <c r="C138" s="1"/>
      <c r="D138" s="1"/>
      <c r="E138" s="1"/>
      <c r="F138" s="1"/>
    </row>
    <row r="139" spans="1:6" ht="12.75">
      <c r="A139" s="61"/>
      <c r="B139" s="1"/>
      <c r="C139" s="1"/>
      <c r="D139" s="1"/>
      <c r="E139" s="1"/>
      <c r="F139" s="1"/>
    </row>
    <row r="140" spans="1:6" ht="12.75">
      <c r="A140" s="61"/>
      <c r="B140" s="1"/>
      <c r="C140" s="1"/>
      <c r="D140" s="1"/>
      <c r="E140" s="1"/>
      <c r="F140" s="1"/>
    </row>
    <row r="141" spans="1:6" ht="12.75">
      <c r="A141" s="61"/>
      <c r="B141" s="1"/>
      <c r="C141" s="1"/>
      <c r="D141" s="1"/>
      <c r="E141" s="1"/>
      <c r="F141" s="1"/>
    </row>
    <row r="142" spans="1:6" ht="12.75">
      <c r="A142" s="61"/>
      <c r="B142" s="1"/>
      <c r="C142" s="1"/>
      <c r="D142" s="1"/>
      <c r="E142" s="1"/>
      <c r="F142" s="1"/>
    </row>
    <row r="143" spans="1:6" ht="12.75">
      <c r="A143" s="61"/>
      <c r="B143" s="1"/>
      <c r="C143" s="1"/>
      <c r="D143" s="1"/>
      <c r="E143" s="1"/>
      <c r="F143" s="1"/>
    </row>
    <row r="144" spans="1:6" ht="12.75">
      <c r="A144" s="61"/>
      <c r="B144" s="1"/>
      <c r="C144" s="1"/>
      <c r="D144" s="1"/>
      <c r="E144" s="1"/>
      <c r="F144" s="1"/>
    </row>
    <row r="145" spans="1:6" ht="12.75">
      <c r="A145" s="61"/>
      <c r="B145" s="1"/>
      <c r="C145" s="1"/>
      <c r="D145" s="1"/>
      <c r="E145" s="1"/>
      <c r="F145" s="1"/>
    </row>
    <row r="146" spans="1:6" ht="12.75">
      <c r="A146" s="61"/>
      <c r="B146" s="1"/>
      <c r="C146" s="1"/>
      <c r="D146" s="1"/>
      <c r="E146" s="1"/>
      <c r="F146" s="1"/>
    </row>
    <row r="147" spans="1:6" ht="12.75">
      <c r="A147" s="61"/>
      <c r="B147" s="1"/>
      <c r="C147" s="1"/>
      <c r="D147" s="1"/>
      <c r="E147" s="1"/>
      <c r="F147" s="1"/>
    </row>
    <row r="148" spans="1:6" ht="12.75">
      <c r="A148" s="61"/>
      <c r="B148" s="1"/>
      <c r="C148" s="1"/>
      <c r="D148" s="1"/>
      <c r="E148" s="1"/>
      <c r="F148" s="1"/>
    </row>
    <row r="149" spans="1:6" ht="12.75">
      <c r="A149" s="61"/>
      <c r="B149" s="1"/>
      <c r="C149" s="1"/>
      <c r="D149" s="1"/>
      <c r="E149" s="1"/>
      <c r="F149" s="1"/>
    </row>
    <row r="150" spans="1:6" ht="12.75">
      <c r="A150" s="61"/>
      <c r="B150" s="1"/>
      <c r="C150" s="1"/>
      <c r="D150" s="1"/>
      <c r="E150" s="1"/>
      <c r="F150" s="1"/>
    </row>
    <row r="151" spans="1:6" ht="12.75">
      <c r="A151" s="61"/>
      <c r="B151" s="1"/>
      <c r="C151" s="1"/>
      <c r="D151" s="1"/>
      <c r="E151" s="1"/>
      <c r="F151" s="1"/>
    </row>
    <row r="152" spans="1:6" ht="12.75">
      <c r="A152" s="61"/>
      <c r="B152" s="1"/>
      <c r="C152" s="1"/>
      <c r="D152" s="1"/>
      <c r="E152" s="1"/>
      <c r="F152" s="1"/>
    </row>
    <row r="153" spans="1:6" ht="12.75">
      <c r="A153" s="61"/>
      <c r="B153" s="1"/>
      <c r="C153" s="1"/>
      <c r="D153" s="1"/>
      <c r="E153" s="1"/>
      <c r="F153" s="1"/>
    </row>
    <row r="154" spans="1:6" ht="12.75">
      <c r="A154" s="61"/>
      <c r="B154" s="1"/>
      <c r="C154" s="1"/>
      <c r="D154" s="1"/>
      <c r="E154" s="1"/>
      <c r="F154" s="1"/>
    </row>
    <row r="155" spans="1:6" ht="12.75">
      <c r="A155" s="61"/>
      <c r="B155" s="1"/>
      <c r="C155" s="1"/>
      <c r="D155" s="1"/>
      <c r="E155" s="1"/>
      <c r="F155" s="1"/>
    </row>
    <row r="156" spans="1:6" ht="12.75">
      <c r="A156" s="61"/>
      <c r="B156" s="1"/>
      <c r="C156" s="1"/>
      <c r="D156" s="1"/>
      <c r="E156" s="1"/>
      <c r="F156" s="1"/>
    </row>
    <row r="157" spans="1:6" ht="12.75">
      <c r="A157" s="61"/>
      <c r="B157" s="1"/>
      <c r="C157" s="1"/>
      <c r="D157" s="1"/>
      <c r="E157" s="1"/>
      <c r="F157" s="1"/>
    </row>
    <row r="158" spans="1:6" ht="12.75">
      <c r="A158" s="61"/>
      <c r="B158" s="1"/>
      <c r="C158" s="1"/>
      <c r="D158" s="1"/>
      <c r="E158" s="1"/>
      <c r="F158" s="1"/>
    </row>
    <row r="159" spans="1:6" ht="12.75">
      <c r="A159" s="61"/>
      <c r="B159" s="1"/>
      <c r="C159" s="1"/>
      <c r="D159" s="1"/>
      <c r="E159" s="1"/>
      <c r="F159" s="1"/>
    </row>
    <row r="160" spans="1:6" ht="12.75">
      <c r="A160" s="61"/>
      <c r="B160" s="1"/>
      <c r="C160" s="1"/>
      <c r="D160" s="1"/>
      <c r="E160" s="1"/>
      <c r="F160" s="1"/>
    </row>
    <row r="161" spans="1:6" ht="12.75">
      <c r="A161" s="61"/>
      <c r="B161" s="1"/>
      <c r="C161" s="1"/>
      <c r="D161" s="1"/>
      <c r="E161" s="1"/>
      <c r="F161" s="1"/>
    </row>
    <row r="162" spans="1:6" ht="12.75">
      <c r="A162" s="61"/>
      <c r="B162" s="1"/>
      <c r="C162" s="1"/>
      <c r="D162" s="1"/>
      <c r="E162" s="1"/>
      <c r="F162" s="1"/>
    </row>
    <row r="163" spans="1:6" ht="12.75">
      <c r="A163" s="61"/>
      <c r="B163" s="1"/>
      <c r="C163" s="1"/>
      <c r="D163" s="1"/>
      <c r="E163" s="1"/>
      <c r="F163" s="1"/>
    </row>
    <row r="164" spans="1:6" ht="12.75">
      <c r="A164" s="61"/>
      <c r="B164" s="1"/>
      <c r="C164" s="1"/>
      <c r="D164" s="1"/>
      <c r="E164" s="1"/>
      <c r="F164" s="1"/>
    </row>
    <row r="165" spans="1:6" ht="12.75">
      <c r="A165" s="61"/>
      <c r="B165" s="1"/>
      <c r="C165" s="1"/>
      <c r="D165" s="1"/>
      <c r="E165" s="1"/>
      <c r="F165" s="1"/>
    </row>
    <row r="166" spans="1:6" ht="12.75">
      <c r="A166" s="61"/>
      <c r="B166" s="1"/>
      <c r="C166" s="1"/>
      <c r="D166" s="1"/>
      <c r="E166" s="1"/>
      <c r="F166" s="1"/>
    </row>
    <row r="167" spans="1:6" ht="12.75">
      <c r="A167" s="61"/>
      <c r="B167" s="1"/>
      <c r="C167" s="1"/>
      <c r="D167" s="1"/>
      <c r="E167" s="1"/>
      <c r="F167" s="1"/>
    </row>
    <row r="168" spans="1:6" ht="12.75">
      <c r="A168" s="61"/>
      <c r="B168" s="1"/>
      <c r="C168" s="1"/>
      <c r="D168" s="1"/>
      <c r="E168" s="1"/>
      <c r="F168" s="1"/>
    </row>
    <row r="169" spans="1:6" ht="12.75">
      <c r="A169" s="61"/>
      <c r="B169" s="1"/>
      <c r="C169" s="1"/>
      <c r="D169" s="1"/>
      <c r="E169" s="1"/>
      <c r="F169" s="1"/>
    </row>
    <row r="170" spans="1:6" ht="12.75">
      <c r="A170" s="61"/>
      <c r="B170" s="1"/>
      <c r="C170" s="1"/>
      <c r="D170" s="1"/>
      <c r="E170" s="1"/>
      <c r="F170" s="1"/>
    </row>
    <row r="171" spans="1:6" ht="12.75">
      <c r="A171" s="61"/>
      <c r="B171" s="1"/>
      <c r="C171" s="1"/>
      <c r="D171" s="1"/>
      <c r="E171" s="1"/>
      <c r="F171" s="1"/>
    </row>
    <row r="172" spans="1:6" ht="12.75">
      <c r="A172" s="61"/>
      <c r="B172" s="1"/>
      <c r="C172" s="1"/>
      <c r="D172" s="1"/>
      <c r="E172" s="1"/>
      <c r="F172" s="1"/>
    </row>
    <row r="173" spans="1:6" ht="12.75">
      <c r="A173" s="61"/>
      <c r="B173" s="1"/>
      <c r="C173" s="1"/>
      <c r="D173" s="1"/>
      <c r="E173" s="1"/>
      <c r="F173" s="1"/>
    </row>
    <row r="174" spans="1:6" ht="12.75">
      <c r="A174" s="61"/>
      <c r="B174" s="1"/>
      <c r="C174" s="1"/>
      <c r="D174" s="1"/>
      <c r="E174" s="1"/>
      <c r="F174" s="1"/>
    </row>
    <row r="175" spans="1:6" ht="12.75">
      <c r="A175" s="61"/>
      <c r="B175" s="1"/>
      <c r="C175" s="1"/>
      <c r="D175" s="1"/>
      <c r="E175" s="1"/>
      <c r="F175" s="1"/>
    </row>
    <row r="176" spans="1:6" ht="12.75">
      <c r="A176" s="61"/>
      <c r="B176" s="1"/>
      <c r="C176" s="1"/>
      <c r="D176" s="1"/>
      <c r="E176" s="1"/>
      <c r="F176" s="1"/>
    </row>
    <row r="177" spans="1:6" ht="12.75">
      <c r="A177" s="61"/>
      <c r="B177" s="1"/>
      <c r="C177" s="1"/>
      <c r="D177" s="1"/>
      <c r="E177" s="1"/>
      <c r="F177" s="1"/>
    </row>
    <row r="178" spans="1:6" ht="12.75">
      <c r="A178" s="61"/>
      <c r="B178" s="1"/>
      <c r="C178" s="1"/>
      <c r="D178" s="1"/>
      <c r="E178" s="1"/>
      <c r="F178" s="1"/>
    </row>
    <row r="179" spans="1:6" ht="12.75">
      <c r="A179" s="61"/>
      <c r="B179" s="1"/>
      <c r="C179" s="1"/>
      <c r="D179" s="1"/>
      <c r="E179" s="1"/>
      <c r="F179" s="1"/>
    </row>
    <row r="180" spans="1:6" ht="12.75">
      <c r="A180" s="61"/>
      <c r="B180" s="1"/>
      <c r="C180" s="1"/>
      <c r="D180" s="1"/>
      <c r="E180" s="1"/>
      <c r="F180" s="1"/>
    </row>
    <row r="181" spans="1:6" ht="12.75">
      <c r="A181" s="61"/>
      <c r="B181" s="1"/>
      <c r="C181" s="1"/>
      <c r="D181" s="1"/>
      <c r="E181" s="1"/>
      <c r="F181" s="1"/>
    </row>
    <row r="182" spans="1:6" ht="12.75">
      <c r="A182" s="61"/>
      <c r="B182" s="1"/>
      <c r="C182" s="1"/>
      <c r="D182" s="1"/>
      <c r="E182" s="1"/>
      <c r="F182" s="1"/>
    </row>
    <row r="183" spans="1:6" ht="12.75">
      <c r="A183" s="61"/>
      <c r="B183" s="1"/>
      <c r="C183" s="1"/>
      <c r="D183" s="1"/>
      <c r="E183" s="1"/>
      <c r="F183" s="1"/>
    </row>
    <row r="184" spans="1:6" ht="12.75">
      <c r="A184" s="61"/>
      <c r="B184" s="1"/>
      <c r="C184" s="1"/>
      <c r="D184" s="1"/>
      <c r="E184" s="1"/>
      <c r="F184" s="1"/>
    </row>
    <row r="185" spans="1:6" ht="12.75">
      <c r="A185" s="61"/>
      <c r="B185" s="1"/>
      <c r="C185" s="1"/>
      <c r="D185" s="1"/>
      <c r="E185" s="1"/>
      <c r="F185" s="1"/>
    </row>
    <row r="186" spans="1:6" ht="12.75">
      <c r="A186" s="61"/>
      <c r="B186" s="1"/>
      <c r="C186" s="1"/>
      <c r="D186" s="1"/>
      <c r="E186" s="1"/>
      <c r="F186" s="1"/>
    </row>
    <row r="187" spans="1:6" ht="12.75">
      <c r="A187" s="61"/>
      <c r="B187" s="1"/>
      <c r="C187" s="1"/>
      <c r="D187" s="1"/>
      <c r="E187" s="1"/>
      <c r="F187" s="1"/>
    </row>
    <row r="188" spans="1:6" ht="12.75">
      <c r="A188" s="61"/>
      <c r="B188" s="1"/>
      <c r="C188" s="1"/>
      <c r="D188" s="1"/>
      <c r="E188" s="1"/>
      <c r="F188" s="1"/>
    </row>
    <row r="189" spans="1:6" ht="12.75">
      <c r="A189" s="61"/>
      <c r="B189" s="1"/>
      <c r="C189" s="1"/>
      <c r="D189" s="1"/>
      <c r="E189" s="1"/>
      <c r="F189" s="1"/>
    </row>
    <row r="190" spans="1:6" ht="12.75">
      <c r="A190" s="61"/>
      <c r="B190" s="1"/>
      <c r="C190" s="1"/>
      <c r="D190" s="1"/>
      <c r="E190" s="1"/>
      <c r="F190" s="1"/>
    </row>
    <row r="191" spans="1:6" ht="12.75">
      <c r="A191" s="61"/>
      <c r="B191" s="1"/>
      <c r="C191" s="1"/>
      <c r="D191" s="1"/>
      <c r="E191" s="1"/>
      <c r="F191" s="1"/>
    </row>
    <row r="192" spans="1:6" ht="12.75">
      <c r="A192" s="61"/>
      <c r="B192" s="1"/>
      <c r="C192" s="1"/>
      <c r="D192" s="1"/>
      <c r="E192" s="1"/>
      <c r="F192" s="1"/>
    </row>
    <row r="193" spans="1:6" ht="12.75">
      <c r="A193" s="61"/>
      <c r="B193" s="1"/>
      <c r="C193" s="1"/>
      <c r="D193" s="1"/>
      <c r="E193" s="1"/>
      <c r="F193" s="1"/>
    </row>
    <row r="194" spans="1:6" ht="12.75">
      <c r="A194" s="61"/>
      <c r="B194" s="1"/>
      <c r="C194" s="1"/>
      <c r="D194" s="1"/>
      <c r="E194" s="1"/>
      <c r="F194" s="1"/>
    </row>
    <row r="195" spans="1:6" ht="12.75">
      <c r="A195" s="61"/>
      <c r="B195" s="1"/>
      <c r="C195" s="1"/>
      <c r="D195" s="1"/>
      <c r="E195" s="1"/>
      <c r="F195" s="1"/>
    </row>
    <row r="196" spans="1:6" ht="12.75">
      <c r="A196" s="61"/>
      <c r="B196" s="1"/>
      <c r="C196" s="1"/>
      <c r="D196" s="1"/>
      <c r="E196" s="1"/>
      <c r="F196" s="1"/>
    </row>
    <row r="197" spans="1:6" ht="12.75">
      <c r="A197" s="61"/>
      <c r="B197" s="1"/>
      <c r="C197" s="1"/>
      <c r="D197" s="1"/>
      <c r="E197" s="1"/>
      <c r="F197" s="1"/>
    </row>
    <row r="198" spans="1:6" ht="12.75">
      <c r="A198" s="61"/>
      <c r="B198" s="1"/>
      <c r="C198" s="1"/>
      <c r="D198" s="1"/>
      <c r="E198" s="1"/>
      <c r="F198" s="1"/>
    </row>
    <row r="199" spans="1:6" ht="12.75">
      <c r="A199" s="61"/>
      <c r="B199" s="1"/>
      <c r="C199" s="1"/>
      <c r="D199" s="1"/>
      <c r="E199" s="1"/>
      <c r="F199" s="1"/>
    </row>
    <row r="200" spans="1:6" ht="12.75">
      <c r="A200" s="61"/>
      <c r="B200" s="1"/>
      <c r="C200" s="1"/>
      <c r="D200" s="1"/>
      <c r="E200" s="1"/>
      <c r="F200" s="1"/>
    </row>
    <row r="201" spans="1:6" ht="12.75">
      <c r="A201" s="61"/>
      <c r="B201" s="1"/>
      <c r="C201" s="1"/>
      <c r="D201" s="1"/>
      <c r="E201" s="1"/>
      <c r="F201" s="1"/>
    </row>
    <row r="202" spans="1:6" ht="12.75">
      <c r="A202" s="61"/>
      <c r="B202" s="1"/>
      <c r="C202" s="1"/>
      <c r="D202" s="1"/>
      <c r="E202" s="1"/>
      <c r="F202" s="1"/>
    </row>
    <row r="203" spans="1:6" ht="12.75">
      <c r="A203" s="61"/>
      <c r="B203" s="1"/>
      <c r="C203" s="1"/>
      <c r="D203" s="1"/>
      <c r="E203" s="1"/>
      <c r="F203" s="1"/>
    </row>
    <row r="204" spans="1:6" ht="12.75">
      <c r="A204" s="61"/>
      <c r="B204" s="1"/>
      <c r="C204" s="1"/>
      <c r="D204" s="1"/>
      <c r="E204" s="1"/>
      <c r="F204" s="1"/>
    </row>
    <row r="205" spans="1:6" ht="12.75">
      <c r="A205" s="61"/>
      <c r="B205" s="1"/>
      <c r="C205" s="1"/>
      <c r="D205" s="1"/>
      <c r="E205" s="1"/>
      <c r="F205" s="1"/>
    </row>
    <row r="206" spans="1:6" ht="12.75">
      <c r="A206" s="61"/>
      <c r="B206" s="1"/>
      <c r="C206" s="1"/>
      <c r="D206" s="1"/>
      <c r="E206" s="1"/>
      <c r="F206" s="1"/>
    </row>
    <row r="207" spans="1:6" ht="12.75">
      <c r="A207" s="61"/>
      <c r="B207" s="1"/>
      <c r="C207" s="1"/>
      <c r="D207" s="1"/>
      <c r="E207" s="1"/>
      <c r="F207" s="1"/>
    </row>
    <row r="208" spans="1:6" ht="12.75">
      <c r="A208" s="61"/>
      <c r="B208" s="1"/>
      <c r="C208" s="1"/>
      <c r="D208" s="1"/>
      <c r="E208" s="1"/>
      <c r="F208" s="1"/>
    </row>
    <row r="209" spans="1:6" ht="12.75">
      <c r="A209" s="61"/>
      <c r="B209" s="1"/>
      <c r="C209" s="1"/>
      <c r="D209" s="1"/>
      <c r="E209" s="1"/>
      <c r="F209" s="1"/>
    </row>
    <row r="210" spans="1:6" ht="12.75">
      <c r="A210" s="61"/>
      <c r="B210" s="1"/>
      <c r="C210" s="1"/>
      <c r="D210" s="1"/>
      <c r="E210" s="1"/>
      <c r="F210" s="1"/>
    </row>
    <row r="211" spans="1:6" ht="12.75">
      <c r="A211" s="61"/>
      <c r="B211" s="1"/>
      <c r="C211" s="1"/>
      <c r="D211" s="1"/>
      <c r="E211" s="1"/>
      <c r="F211" s="1"/>
    </row>
    <row r="212" spans="1:6" ht="12.75">
      <c r="A212" s="61"/>
      <c r="B212" s="1"/>
      <c r="C212" s="1"/>
      <c r="D212" s="1"/>
      <c r="E212" s="1"/>
      <c r="F212" s="1"/>
    </row>
    <row r="213" spans="1:6" ht="12.75">
      <c r="A213" s="61"/>
      <c r="B213" s="1"/>
      <c r="C213" s="1"/>
      <c r="D213" s="1"/>
      <c r="E213" s="1"/>
      <c r="F213" s="1"/>
    </row>
    <row r="214" spans="1:6" ht="12.75">
      <c r="A214" s="61"/>
      <c r="B214" s="1"/>
      <c r="C214" s="1"/>
      <c r="D214" s="1"/>
      <c r="E214" s="1"/>
      <c r="F214" s="1"/>
    </row>
    <row r="215" spans="1:6" ht="12.75">
      <c r="A215" s="61"/>
      <c r="B215" s="1"/>
      <c r="C215" s="1"/>
      <c r="D215" s="1"/>
      <c r="E215" s="1"/>
      <c r="F215" s="1"/>
    </row>
    <row r="216" spans="1:6" ht="12.75">
      <c r="A216" s="61"/>
      <c r="B216" s="1"/>
      <c r="C216" s="1"/>
      <c r="D216" s="1"/>
      <c r="E216" s="1"/>
      <c r="F216" s="1"/>
    </row>
    <row r="217" spans="1:6" ht="12.75">
      <c r="A217" s="61"/>
      <c r="B217" s="1"/>
      <c r="C217" s="1"/>
      <c r="D217" s="1"/>
      <c r="E217" s="1"/>
      <c r="F217" s="1"/>
    </row>
    <row r="218" spans="1:6" ht="12.75">
      <c r="A218" s="61"/>
      <c r="B218" s="1"/>
      <c r="C218" s="1"/>
      <c r="D218" s="1"/>
      <c r="E218" s="1"/>
      <c r="F218" s="1"/>
    </row>
    <row r="219" spans="1:6" ht="12.75">
      <c r="A219" s="61"/>
      <c r="B219" s="1"/>
      <c r="C219" s="1"/>
      <c r="D219" s="1"/>
      <c r="E219" s="1"/>
      <c r="F219" s="1"/>
    </row>
    <row r="220" spans="1:6" ht="12.75">
      <c r="A220" s="61"/>
      <c r="B220" s="1"/>
      <c r="C220" s="1"/>
      <c r="D220" s="1"/>
      <c r="E220" s="1"/>
      <c r="F220" s="1"/>
    </row>
    <row r="221" spans="1:6" ht="12.75">
      <c r="A221" s="61"/>
      <c r="B221" s="1"/>
      <c r="C221" s="1"/>
      <c r="D221" s="1"/>
      <c r="E221" s="1"/>
      <c r="F221" s="1"/>
    </row>
    <row r="222" spans="1:6" ht="12.75">
      <c r="A222" s="61"/>
      <c r="B222" s="1"/>
      <c r="C222" s="1"/>
      <c r="D222" s="1"/>
      <c r="E222" s="1"/>
      <c r="F222" s="1"/>
    </row>
    <row r="223" spans="1:6" ht="12.75">
      <c r="A223" s="61"/>
      <c r="B223" s="1"/>
      <c r="C223" s="1"/>
      <c r="D223" s="1"/>
      <c r="E223" s="1"/>
      <c r="F223" s="1"/>
    </row>
    <row r="224" spans="1:6" ht="12.75">
      <c r="A224" s="61"/>
      <c r="B224" s="1"/>
      <c r="C224" s="1"/>
      <c r="D224" s="1"/>
      <c r="E224" s="1"/>
      <c r="F224" s="1"/>
    </row>
    <row r="225" spans="1:6" ht="12.75">
      <c r="A225" s="61"/>
      <c r="B225" s="1"/>
      <c r="C225" s="1"/>
      <c r="D225" s="1"/>
      <c r="E225" s="1"/>
      <c r="F225" s="1"/>
    </row>
    <row r="226" spans="1:6" ht="12.75">
      <c r="A226" s="61"/>
      <c r="B226" s="1"/>
      <c r="C226" s="1"/>
      <c r="D226" s="1"/>
      <c r="E226" s="1"/>
      <c r="F226" s="1"/>
    </row>
    <row r="227" spans="1:6" ht="12.75">
      <c r="A227" s="61"/>
      <c r="B227" s="1"/>
      <c r="C227" s="1"/>
      <c r="D227" s="1"/>
      <c r="E227" s="1"/>
      <c r="F227" s="1"/>
    </row>
    <row r="228" spans="1:6" ht="12.75">
      <c r="A228" s="61"/>
      <c r="B228" s="1"/>
      <c r="C228" s="1"/>
      <c r="D228" s="1"/>
      <c r="E228" s="1"/>
      <c r="F228" s="1"/>
    </row>
    <row r="229" spans="1:6" ht="12.75">
      <c r="A229" s="61"/>
      <c r="B229" s="1"/>
      <c r="C229" s="1"/>
      <c r="D229" s="1"/>
      <c r="E229" s="1"/>
      <c r="F229" s="1"/>
    </row>
    <row r="230" spans="1:6" ht="12.75">
      <c r="A230" s="61"/>
      <c r="B230" s="1"/>
      <c r="C230" s="1"/>
      <c r="D230" s="1"/>
      <c r="E230" s="1"/>
      <c r="F230" s="1"/>
    </row>
    <row r="231" spans="1:6" ht="12.75">
      <c r="A231" s="61"/>
      <c r="B231" s="1"/>
      <c r="C231" s="1"/>
      <c r="D231" s="1"/>
      <c r="E231" s="1"/>
      <c r="F231" s="1"/>
    </row>
    <row r="232" spans="1:6" ht="12.75">
      <c r="A232" s="61"/>
      <c r="B232" s="1"/>
      <c r="C232" s="1"/>
      <c r="D232" s="1"/>
      <c r="E232" s="1"/>
      <c r="F232" s="1"/>
    </row>
    <row r="233" spans="1:6" ht="12.75">
      <c r="A233" s="61"/>
      <c r="B233" s="1"/>
      <c r="C233" s="1"/>
      <c r="D233" s="1"/>
      <c r="E233" s="1"/>
      <c r="F233" s="1"/>
    </row>
    <row r="234" spans="1:6" ht="12.75">
      <c r="A234" s="61"/>
      <c r="B234" s="1"/>
      <c r="C234" s="1"/>
      <c r="D234" s="1"/>
      <c r="E234" s="1"/>
      <c r="F234" s="1"/>
    </row>
    <row r="235" spans="1:6" ht="12.75">
      <c r="A235" s="61"/>
      <c r="B235" s="1"/>
      <c r="C235" s="1"/>
      <c r="D235" s="1"/>
      <c r="E235" s="1"/>
      <c r="F235" s="1"/>
    </row>
    <row r="236" spans="1:6" ht="12.75">
      <c r="A236" s="61"/>
      <c r="B236" s="1"/>
      <c r="C236" s="1"/>
      <c r="D236" s="1"/>
      <c r="E236" s="1"/>
      <c r="F236" s="1"/>
    </row>
    <row r="237" spans="1:6" ht="12.75">
      <c r="A237" s="61"/>
      <c r="B237" s="1"/>
      <c r="C237" s="1"/>
      <c r="D237" s="1"/>
      <c r="E237" s="1"/>
      <c r="F237" s="1"/>
    </row>
    <row r="238" spans="1:6" ht="12.75">
      <c r="A238" s="61"/>
      <c r="B238" s="1"/>
      <c r="C238" s="1"/>
      <c r="D238" s="1"/>
      <c r="E238" s="1"/>
      <c r="F238" s="1"/>
    </row>
    <row r="239" spans="1:6" ht="12.75">
      <c r="A239" s="61"/>
      <c r="B239" s="1"/>
      <c r="C239" s="1"/>
      <c r="D239" s="1"/>
      <c r="E239" s="1"/>
      <c r="F239" s="1"/>
    </row>
    <row r="240" spans="1:6" ht="12.75">
      <c r="A240" s="61"/>
      <c r="B240" s="1"/>
      <c r="C240" s="1"/>
      <c r="D240" s="1"/>
      <c r="E240" s="1"/>
      <c r="F240" s="1"/>
    </row>
    <row r="241" spans="1:6" ht="12.75">
      <c r="A241" s="61"/>
      <c r="B241" s="1"/>
      <c r="C241" s="1"/>
      <c r="D241" s="1"/>
      <c r="E241" s="1"/>
      <c r="F241" s="1"/>
    </row>
    <row r="242" spans="1:6" ht="12.75">
      <c r="A242" s="61"/>
      <c r="B242" s="1"/>
      <c r="C242" s="1"/>
      <c r="D242" s="1"/>
      <c r="E242" s="1"/>
      <c r="F242" s="1"/>
    </row>
    <row r="243" spans="1:6" ht="12.75">
      <c r="A243" s="61"/>
      <c r="B243" s="1"/>
      <c r="C243" s="1"/>
      <c r="D243" s="1"/>
      <c r="E243" s="1"/>
      <c r="F243" s="1"/>
    </row>
    <row r="244" spans="1:6" ht="12.75">
      <c r="A244" s="61"/>
      <c r="B244" s="1"/>
      <c r="C244" s="1"/>
      <c r="D244" s="1"/>
      <c r="E244" s="1"/>
      <c r="F244" s="1"/>
    </row>
    <row r="245" spans="1:6" ht="12.75">
      <c r="A245" s="61"/>
      <c r="B245" s="1"/>
      <c r="C245" s="1"/>
      <c r="D245" s="1"/>
      <c r="E245" s="1"/>
      <c r="F245" s="1"/>
    </row>
    <row r="246" spans="1:6" ht="12.75">
      <c r="A246" s="61"/>
      <c r="B246" s="1"/>
      <c r="C246" s="1"/>
      <c r="D246" s="1"/>
      <c r="E246" s="1"/>
      <c r="F246" s="1"/>
    </row>
    <row r="247" spans="1:6" ht="12.75">
      <c r="A247" s="61"/>
      <c r="B247" s="1"/>
      <c r="C247" s="1"/>
      <c r="D247" s="1"/>
      <c r="E247" s="1"/>
      <c r="F247" s="1"/>
    </row>
    <row r="248" spans="1:6" ht="12.75">
      <c r="A248" s="61"/>
      <c r="B248" s="1"/>
      <c r="C248" s="1"/>
      <c r="D248" s="1"/>
      <c r="E248" s="1"/>
      <c r="F248" s="1"/>
    </row>
    <row r="249" spans="1:6" ht="12.75">
      <c r="A249" s="61"/>
      <c r="B249" s="1"/>
      <c r="C249" s="1"/>
      <c r="D249" s="1"/>
      <c r="E249" s="1"/>
      <c r="F249" s="1"/>
    </row>
    <row r="250" spans="1:6" ht="12.75">
      <c r="A250" s="61"/>
      <c r="B250" s="1"/>
      <c r="C250" s="1"/>
      <c r="D250" s="1"/>
      <c r="E250" s="1"/>
      <c r="F250" s="1"/>
    </row>
    <row r="251" spans="1:6" ht="12.75">
      <c r="A251" s="61"/>
      <c r="B251" s="1"/>
      <c r="C251" s="1"/>
      <c r="D251" s="1"/>
      <c r="E251" s="1"/>
      <c r="F251" s="1"/>
    </row>
    <row r="252" spans="1:6" ht="12.75">
      <c r="A252" s="61"/>
      <c r="B252" s="1"/>
      <c r="C252" s="1"/>
      <c r="D252" s="1"/>
      <c r="E252" s="1"/>
      <c r="F252" s="1"/>
    </row>
    <row r="253" spans="1:6" ht="12.75">
      <c r="A253" s="61"/>
      <c r="B253" s="1"/>
      <c r="C253" s="1"/>
      <c r="D253" s="1"/>
      <c r="E253" s="1"/>
      <c r="F253" s="1"/>
    </row>
    <row r="254" spans="1:6" ht="12.75">
      <c r="A254" s="61"/>
      <c r="B254" s="1"/>
      <c r="C254" s="1"/>
      <c r="D254" s="1"/>
      <c r="E254" s="1"/>
      <c r="F254" s="1"/>
    </row>
    <row r="255" spans="1:6" ht="12.75">
      <c r="A255" s="61"/>
      <c r="B255" s="1"/>
      <c r="C255" s="1"/>
      <c r="D255" s="1"/>
      <c r="E255" s="1"/>
      <c r="F255" s="1"/>
    </row>
    <row r="256" spans="1:6" ht="12.75">
      <c r="A256" s="61"/>
      <c r="B256" s="1"/>
      <c r="C256" s="1"/>
      <c r="D256" s="1"/>
      <c r="E256" s="1"/>
      <c r="F256" s="1"/>
    </row>
    <row r="257" spans="1:6" ht="12.75">
      <c r="A257" s="61"/>
      <c r="B257" s="1"/>
      <c r="C257" s="1"/>
      <c r="D257" s="1"/>
      <c r="E257" s="1"/>
      <c r="F257" s="1"/>
    </row>
    <row r="258" spans="1:6" ht="12.75">
      <c r="A258" s="61"/>
      <c r="B258" s="1"/>
      <c r="C258" s="1"/>
      <c r="D258" s="1"/>
      <c r="E258" s="1"/>
      <c r="F258" s="1"/>
    </row>
    <row r="259" spans="1:6" ht="12.75">
      <c r="A259" s="61"/>
      <c r="B259" s="1"/>
      <c r="C259" s="1"/>
      <c r="D259" s="1"/>
      <c r="E259" s="1"/>
      <c r="F259" s="1"/>
    </row>
    <row r="260" spans="1:6" ht="12.75">
      <c r="A260" s="61"/>
      <c r="B260" s="1"/>
      <c r="C260" s="1"/>
      <c r="D260" s="1"/>
      <c r="E260" s="1"/>
      <c r="F260" s="1"/>
    </row>
    <row r="261" spans="1:6" ht="12.75">
      <c r="A261" s="61"/>
      <c r="B261" s="1"/>
      <c r="C261" s="1"/>
      <c r="D261" s="1"/>
      <c r="E261" s="1"/>
      <c r="F261" s="1"/>
    </row>
    <row r="262" spans="1:6" ht="12.75">
      <c r="A262" s="61"/>
      <c r="B262" s="1"/>
      <c r="C262" s="1"/>
      <c r="D262" s="1"/>
      <c r="E262" s="1"/>
      <c r="F262" s="1"/>
    </row>
    <row r="263" spans="1:6" ht="12.75">
      <c r="A263" s="61"/>
      <c r="B263" s="1"/>
      <c r="C263" s="1"/>
      <c r="D263" s="1"/>
      <c r="E263" s="1"/>
      <c r="F263" s="1"/>
    </row>
    <row r="264" spans="1:6" ht="12.75">
      <c r="A264" s="61"/>
      <c r="B264" s="1"/>
      <c r="C264" s="1"/>
      <c r="D264" s="1"/>
      <c r="E264" s="1"/>
      <c r="F264" s="1"/>
    </row>
    <row r="265" spans="1:6" ht="12.75">
      <c r="A265" s="61"/>
      <c r="B265" s="1"/>
      <c r="C265" s="1"/>
      <c r="D265" s="1"/>
      <c r="E265" s="1"/>
      <c r="F265" s="1"/>
    </row>
    <row r="266" spans="1:6" ht="12.75">
      <c r="A266" s="61"/>
      <c r="B266" s="1"/>
      <c r="C266" s="1"/>
      <c r="D266" s="1"/>
      <c r="E266" s="1"/>
      <c r="F266" s="1"/>
    </row>
    <row r="267" spans="1:6" ht="12.75">
      <c r="A267" s="61"/>
      <c r="B267" s="1"/>
      <c r="C267" s="1"/>
      <c r="D267" s="1"/>
      <c r="E267" s="1"/>
      <c r="F267" s="1"/>
    </row>
    <row r="268" spans="1:6" ht="12.75">
      <c r="A268" s="61"/>
      <c r="B268" s="1"/>
      <c r="C268" s="1"/>
      <c r="D268" s="1"/>
      <c r="E268" s="1"/>
      <c r="F268" s="1"/>
    </row>
    <row r="269" spans="1:6" ht="12.75">
      <c r="A269" s="61"/>
      <c r="B269" s="1"/>
      <c r="C269" s="1"/>
      <c r="D269" s="1"/>
      <c r="E269" s="1"/>
      <c r="F269" s="1"/>
    </row>
    <row r="270" spans="1:6" ht="12.75">
      <c r="A270" s="61"/>
      <c r="B270" s="1"/>
      <c r="C270" s="1"/>
      <c r="D270" s="1"/>
      <c r="E270" s="1"/>
      <c r="F270" s="1"/>
    </row>
    <row r="271" spans="1:6" ht="12.75">
      <c r="A271" s="61"/>
      <c r="B271" s="1"/>
      <c r="C271" s="1"/>
      <c r="D271" s="1"/>
      <c r="E271" s="1"/>
      <c r="F271" s="1"/>
    </row>
    <row r="272" spans="1:6" ht="12.75">
      <c r="A272" s="61"/>
      <c r="B272" s="1"/>
      <c r="C272" s="1"/>
      <c r="D272" s="1"/>
      <c r="E272" s="1"/>
      <c r="F272" s="1"/>
    </row>
    <row r="273" spans="1:6" ht="12.75">
      <c r="A273" s="61"/>
      <c r="B273" s="1"/>
      <c r="C273" s="1"/>
      <c r="D273" s="1"/>
      <c r="E273" s="1"/>
      <c r="F273" s="1"/>
    </row>
    <row r="274" spans="1:6" ht="12.75">
      <c r="A274" s="61"/>
      <c r="B274" s="1"/>
      <c r="C274" s="1"/>
      <c r="D274" s="1"/>
      <c r="E274" s="1"/>
      <c r="F274" s="1"/>
    </row>
    <row r="275" spans="1:6" ht="12.75">
      <c r="A275" s="61"/>
      <c r="B275" s="1"/>
      <c r="C275" s="1"/>
      <c r="D275" s="1"/>
      <c r="E275" s="1"/>
      <c r="F275" s="1"/>
    </row>
    <row r="276" spans="1:6" ht="12.75">
      <c r="A276" s="61"/>
      <c r="B276" s="1"/>
      <c r="C276" s="1"/>
      <c r="D276" s="1"/>
      <c r="E276" s="1"/>
      <c r="F276" s="1"/>
    </row>
    <row r="277" spans="1:6" ht="12.75">
      <c r="A277" s="61"/>
      <c r="B277" s="1"/>
      <c r="C277" s="1"/>
      <c r="D277" s="1"/>
      <c r="E277" s="1"/>
      <c r="F277" s="1"/>
    </row>
    <row r="278" spans="1:6" ht="12.75">
      <c r="A278" s="61"/>
      <c r="B278" s="1"/>
      <c r="C278" s="1"/>
      <c r="D278" s="1"/>
      <c r="E278" s="1"/>
      <c r="F278" s="1"/>
    </row>
    <row r="279" spans="1:6" ht="12.75">
      <c r="A279" s="61"/>
      <c r="B279" s="1"/>
      <c r="C279" s="1"/>
      <c r="D279" s="1"/>
      <c r="E279" s="1"/>
      <c r="F279" s="1"/>
    </row>
    <row r="280" spans="1:6" ht="12.75">
      <c r="A280" s="61"/>
      <c r="B280" s="1"/>
      <c r="C280" s="1"/>
      <c r="D280" s="1"/>
      <c r="E280" s="1"/>
      <c r="F280" s="1"/>
    </row>
    <row r="281" spans="1:6" ht="12.75">
      <c r="A281" s="61"/>
      <c r="B281" s="1"/>
      <c r="C281" s="1"/>
      <c r="D281" s="1"/>
      <c r="E281" s="1"/>
      <c r="F281" s="1"/>
    </row>
    <row r="282" spans="1:6" ht="12.75">
      <c r="A282" s="61"/>
      <c r="B282" s="1"/>
      <c r="C282" s="1"/>
      <c r="D282" s="1"/>
      <c r="E282" s="1"/>
      <c r="F282" s="1"/>
    </row>
    <row r="283" spans="1:6" ht="12.75">
      <c r="A283" s="61"/>
      <c r="B283" s="1"/>
      <c r="C283" s="1"/>
      <c r="D283" s="1"/>
      <c r="E283" s="1"/>
      <c r="F283" s="1"/>
    </row>
    <row r="284" spans="1:6" ht="12.75">
      <c r="A284" s="61"/>
      <c r="B284" s="1"/>
      <c r="C284" s="1"/>
      <c r="D284" s="1"/>
      <c r="E284" s="1"/>
      <c r="F284" s="1"/>
    </row>
    <row r="285" spans="1:6" ht="12.75">
      <c r="A285" s="61"/>
      <c r="B285" s="1"/>
      <c r="C285" s="1"/>
      <c r="D285" s="1"/>
      <c r="E285" s="1"/>
      <c r="F285" s="1"/>
    </row>
    <row r="286" spans="1:6" ht="12.75">
      <c r="A286" s="61"/>
      <c r="B286" s="1"/>
      <c r="C286" s="1"/>
      <c r="D286" s="1"/>
      <c r="E286" s="1"/>
      <c r="F286" s="1"/>
    </row>
    <row r="287" spans="1:6" ht="12.75">
      <c r="A287" s="61"/>
      <c r="B287" s="1"/>
      <c r="C287" s="1"/>
      <c r="D287" s="1"/>
      <c r="E287" s="1"/>
      <c r="F287" s="1"/>
    </row>
    <row r="288" spans="1:6" ht="12.75">
      <c r="A288" s="61"/>
      <c r="B288" s="1"/>
      <c r="C288" s="1"/>
      <c r="D288" s="1"/>
      <c r="E288" s="1"/>
      <c r="F288" s="1"/>
    </row>
    <row r="289" spans="1:6" ht="12.75">
      <c r="A289" s="61"/>
      <c r="B289" s="1"/>
      <c r="C289" s="1"/>
      <c r="D289" s="1"/>
      <c r="E289" s="1"/>
      <c r="F289" s="1"/>
    </row>
    <row r="290" spans="1:6" ht="12.75">
      <c r="A290" s="61"/>
      <c r="B290" s="1"/>
      <c r="C290" s="1"/>
      <c r="D290" s="1"/>
      <c r="E290" s="1"/>
      <c r="F290" s="1"/>
    </row>
    <row r="291" spans="1:6" ht="12.75">
      <c r="A291" s="61"/>
      <c r="B291" s="1"/>
      <c r="C291" s="1"/>
      <c r="D291" s="1"/>
      <c r="E291" s="1"/>
      <c r="F291" s="1"/>
    </row>
    <row r="292" spans="1:6" ht="12.75">
      <c r="A292" s="61"/>
      <c r="B292" s="1"/>
      <c r="C292" s="1"/>
      <c r="D292" s="1"/>
      <c r="E292" s="1"/>
      <c r="F292" s="1"/>
    </row>
    <row r="293" spans="1:6" ht="12.75">
      <c r="A293" s="61"/>
      <c r="B293" s="1"/>
      <c r="C293" s="1"/>
      <c r="D293" s="1"/>
      <c r="E293" s="1"/>
      <c r="F293" s="1"/>
    </row>
    <row r="294" spans="1:6" ht="12.75">
      <c r="A294" s="61"/>
      <c r="B294" s="1"/>
      <c r="C294" s="1"/>
      <c r="D294" s="1"/>
      <c r="E294" s="1"/>
      <c r="F294" s="1"/>
    </row>
    <row r="295" spans="1:6" ht="12.75">
      <c r="A295" s="61"/>
      <c r="B295" s="1"/>
      <c r="C295" s="1"/>
      <c r="D295" s="1"/>
      <c r="E295" s="1"/>
      <c r="F295" s="1"/>
    </row>
    <row r="296" spans="1:6" ht="12.75">
      <c r="A296" s="61"/>
      <c r="B296" s="1"/>
      <c r="C296" s="1"/>
      <c r="D296" s="1"/>
      <c r="E296" s="1"/>
      <c r="F296" s="1"/>
    </row>
    <row r="297" spans="1:6" ht="12.75">
      <c r="A297" s="61"/>
      <c r="B297" s="1"/>
      <c r="C297" s="1"/>
      <c r="D297" s="1"/>
      <c r="E297" s="1"/>
      <c r="F297" s="1"/>
    </row>
    <row r="298" spans="1:6" ht="12.75">
      <c r="A298" s="61"/>
      <c r="B298" s="1"/>
      <c r="C298" s="1"/>
      <c r="D298" s="1"/>
      <c r="E298" s="1"/>
      <c r="F298" s="1"/>
    </row>
    <row r="299" spans="1:6" ht="12.75">
      <c r="A299" s="61"/>
      <c r="B299" s="1"/>
      <c r="C299" s="1"/>
      <c r="D299" s="1"/>
      <c r="E299" s="1"/>
      <c r="F299" s="1"/>
    </row>
    <row r="300" spans="1:6" ht="12.75">
      <c r="A300" s="61"/>
      <c r="B300" s="1"/>
      <c r="C300" s="1"/>
      <c r="D300" s="1"/>
      <c r="E300" s="1"/>
      <c r="F300" s="1"/>
    </row>
    <row r="301" spans="1:6" ht="12.75">
      <c r="A301" s="61"/>
      <c r="B301" s="1"/>
      <c r="C301" s="1"/>
      <c r="D301" s="1"/>
      <c r="E301" s="1"/>
      <c r="F301" s="1"/>
    </row>
    <row r="302" spans="1:6" ht="12.75">
      <c r="A302" s="61"/>
      <c r="B302" s="1"/>
      <c r="C302" s="1"/>
      <c r="D302" s="1"/>
      <c r="E302" s="1"/>
      <c r="F302" s="1"/>
    </row>
    <row r="303" spans="1:6" ht="12.75">
      <c r="A303" s="61"/>
      <c r="B303" s="1"/>
      <c r="C303" s="1"/>
      <c r="D303" s="1"/>
      <c r="E303" s="1"/>
      <c r="F303" s="1"/>
    </row>
    <row r="304" spans="1:6" ht="12.75">
      <c r="A304" s="61"/>
      <c r="B304" s="1"/>
      <c r="C304" s="1"/>
      <c r="D304" s="1"/>
      <c r="E304" s="1"/>
      <c r="F304" s="1"/>
    </row>
    <row r="305" spans="1:6" ht="12.75">
      <c r="A305" s="61"/>
      <c r="B305" s="1"/>
      <c r="C305" s="1"/>
      <c r="D305" s="1"/>
      <c r="E305" s="1"/>
      <c r="F305" s="1"/>
    </row>
    <row r="306" spans="1:6" ht="12.75">
      <c r="A306" s="61"/>
      <c r="B306" s="1"/>
      <c r="C306" s="1"/>
      <c r="D306" s="1"/>
      <c r="E306" s="1"/>
      <c r="F306" s="1"/>
    </row>
    <row r="307" spans="1:6" ht="12.75">
      <c r="A307" s="61"/>
      <c r="B307" s="1"/>
      <c r="C307" s="1"/>
      <c r="D307" s="1"/>
      <c r="E307" s="1"/>
      <c r="F307" s="1"/>
    </row>
    <row r="308" spans="1:6" ht="12.75">
      <c r="A308" s="61"/>
      <c r="B308" s="1"/>
      <c r="C308" s="1"/>
      <c r="D308" s="1"/>
      <c r="E308" s="1"/>
      <c r="F308" s="1"/>
    </row>
    <row r="309" spans="1:6" ht="12.75">
      <c r="A309" s="61"/>
      <c r="B309" s="1"/>
      <c r="C309" s="1"/>
      <c r="D309" s="1"/>
      <c r="E309" s="1"/>
      <c r="F309" s="1"/>
    </row>
    <row r="310" spans="1:6" ht="12.75">
      <c r="A310" s="61"/>
      <c r="B310" s="1"/>
      <c r="C310" s="1"/>
      <c r="D310" s="1"/>
      <c r="E310" s="1"/>
      <c r="F310" s="1"/>
    </row>
    <row r="311" spans="1:6" ht="12.75">
      <c r="A311" s="61"/>
      <c r="B311" s="1"/>
      <c r="C311" s="1"/>
      <c r="D311" s="1"/>
      <c r="E311" s="1"/>
      <c r="F311" s="1"/>
    </row>
    <row r="312" spans="1:6" ht="12.75">
      <c r="A312" s="61"/>
      <c r="B312" s="1"/>
      <c r="C312" s="1"/>
      <c r="D312" s="1"/>
      <c r="E312" s="1"/>
      <c r="F312" s="1"/>
    </row>
    <row r="313" spans="1:6" ht="12.75">
      <c r="A313" s="61"/>
      <c r="B313" s="1"/>
      <c r="C313" s="1"/>
      <c r="D313" s="1"/>
      <c r="E313" s="1"/>
      <c r="F313" s="1"/>
    </row>
    <row r="314" spans="1:6" ht="12.75">
      <c r="A314" s="61"/>
      <c r="B314" s="1"/>
      <c r="C314" s="1"/>
      <c r="D314" s="1"/>
      <c r="E314" s="1"/>
      <c r="F314" s="1"/>
    </row>
    <row r="315" spans="1:6" ht="12.75">
      <c r="A315" s="61"/>
      <c r="B315" s="1"/>
      <c r="C315" s="1"/>
      <c r="D315" s="1"/>
      <c r="E315" s="1"/>
      <c r="F315" s="1"/>
    </row>
    <row r="316" spans="1:6" ht="12.75">
      <c r="A316" s="61"/>
      <c r="B316" s="1"/>
      <c r="C316" s="1"/>
      <c r="D316" s="1"/>
      <c r="E316" s="1"/>
      <c r="F316" s="1"/>
    </row>
    <row r="317" spans="1:6" ht="12.75">
      <c r="A317" s="61"/>
      <c r="B317" s="1"/>
      <c r="C317" s="1"/>
      <c r="D317" s="1"/>
      <c r="E317" s="1"/>
      <c r="F317" s="1"/>
    </row>
    <row r="318" spans="1:6" ht="12.75">
      <c r="A318" s="61"/>
      <c r="B318" s="1"/>
      <c r="C318" s="1"/>
      <c r="D318" s="1"/>
      <c r="E318" s="1"/>
      <c r="F318" s="1"/>
    </row>
    <row r="319" spans="1:6" ht="12.75">
      <c r="A319" s="61"/>
      <c r="B319" s="1"/>
      <c r="C319" s="1"/>
      <c r="D319" s="1"/>
      <c r="E319" s="1"/>
      <c r="F319" s="1"/>
    </row>
    <row r="320" spans="1:6" ht="12.75">
      <c r="A320" s="61"/>
      <c r="B320" s="1"/>
      <c r="C320" s="1"/>
      <c r="D320" s="1"/>
      <c r="E320" s="1"/>
      <c r="F320" s="1"/>
    </row>
    <row r="321" spans="1:6" ht="12.75">
      <c r="A321" s="61"/>
      <c r="B321" s="1"/>
      <c r="C321" s="1"/>
      <c r="D321" s="1"/>
      <c r="E321" s="1"/>
      <c r="F321" s="1"/>
    </row>
    <row r="322" spans="1:6" ht="12.75">
      <c r="A322" s="61"/>
      <c r="B322" s="1"/>
      <c r="C322" s="1"/>
      <c r="D322" s="1"/>
      <c r="E322" s="1"/>
      <c r="F322" s="1"/>
    </row>
    <row r="323" spans="1:6" ht="12.75">
      <c r="A323" s="61"/>
      <c r="B323" s="1"/>
      <c r="C323" s="1"/>
      <c r="D323" s="1"/>
      <c r="E323" s="1"/>
      <c r="F323" s="1"/>
    </row>
    <row r="324" spans="1:6" ht="12.75">
      <c r="A324" s="61"/>
      <c r="B324" s="1"/>
      <c r="C324" s="1"/>
      <c r="D324" s="1"/>
      <c r="E324" s="1"/>
      <c r="F324" s="1"/>
    </row>
    <row r="325" spans="1:6" ht="12.75">
      <c r="A325" s="61"/>
      <c r="B325" s="1"/>
      <c r="C325" s="1"/>
      <c r="D325" s="1"/>
      <c r="E325" s="1"/>
      <c r="F325" s="1"/>
    </row>
    <row r="326" spans="1:6" ht="12.75">
      <c r="A326" s="61"/>
      <c r="B326" s="1"/>
      <c r="C326" s="1"/>
      <c r="D326" s="1"/>
      <c r="E326" s="1"/>
      <c r="F326" s="1"/>
    </row>
    <row r="327" spans="1:6" ht="12.75">
      <c r="A327" s="61"/>
      <c r="B327" s="1"/>
      <c r="C327" s="1"/>
      <c r="D327" s="1"/>
      <c r="E327" s="1"/>
      <c r="F327" s="1"/>
    </row>
    <row r="328" spans="1:6" ht="12.75">
      <c r="A328" s="61"/>
      <c r="B328" s="1"/>
      <c r="C328" s="1"/>
      <c r="D328" s="1"/>
      <c r="E328" s="1"/>
      <c r="F328" s="1"/>
    </row>
    <row r="329" spans="1:6" ht="12.75">
      <c r="A329" s="61"/>
      <c r="B329" s="1"/>
      <c r="C329" s="1"/>
      <c r="D329" s="1"/>
      <c r="E329" s="1"/>
      <c r="F329" s="1"/>
    </row>
    <row r="330" spans="1:6" ht="12.75">
      <c r="A330" s="61"/>
      <c r="B330" s="1"/>
      <c r="C330" s="1"/>
      <c r="D330" s="1"/>
      <c r="E330" s="1"/>
      <c r="F330" s="1"/>
    </row>
    <row r="331" spans="1:6" ht="12.75">
      <c r="A331" s="61"/>
      <c r="B331" s="1"/>
      <c r="C331" s="1"/>
      <c r="D331" s="1"/>
      <c r="E331" s="1"/>
      <c r="F331" s="1"/>
    </row>
    <row r="332" spans="1:6" ht="12.75">
      <c r="A332" s="61"/>
      <c r="B332" s="1"/>
      <c r="C332" s="1"/>
      <c r="D332" s="1"/>
      <c r="E332" s="1"/>
      <c r="F332" s="1"/>
    </row>
    <row r="333" spans="1:6" ht="12.75">
      <c r="A333" s="61"/>
      <c r="B333" s="1"/>
      <c r="C333" s="1"/>
      <c r="D333" s="1"/>
      <c r="E333" s="1"/>
      <c r="F333" s="1"/>
    </row>
    <row r="334" spans="1:6" ht="12.75">
      <c r="A334" s="61"/>
      <c r="B334" s="1"/>
      <c r="C334" s="1"/>
      <c r="D334" s="1"/>
      <c r="E334" s="1"/>
      <c r="F334" s="1"/>
    </row>
    <row r="335" spans="1:6" ht="12.75">
      <c r="A335" s="61"/>
      <c r="B335" s="1"/>
      <c r="C335" s="1"/>
      <c r="D335" s="1"/>
      <c r="E335" s="1"/>
      <c r="F335" s="1"/>
    </row>
    <row r="336" spans="1:6" ht="12.75">
      <c r="A336" s="61"/>
      <c r="B336" s="1"/>
      <c r="C336" s="1"/>
      <c r="D336" s="1"/>
      <c r="E336" s="1"/>
      <c r="F336" s="1"/>
    </row>
    <row r="337" spans="1:6" ht="12.75">
      <c r="A337" s="61"/>
      <c r="B337" s="1"/>
      <c r="C337" s="1"/>
      <c r="D337" s="1"/>
      <c r="E337" s="1"/>
      <c r="F337" s="1"/>
    </row>
    <row r="338" spans="1:6" ht="12.75">
      <c r="A338" s="61"/>
      <c r="B338" s="1"/>
      <c r="C338" s="1"/>
      <c r="D338" s="1"/>
      <c r="E338" s="1"/>
      <c r="F338" s="1"/>
    </row>
    <row r="339" spans="1:6" ht="12.75">
      <c r="A339" s="61"/>
      <c r="B339" s="1"/>
      <c r="C339" s="1"/>
      <c r="D339" s="1"/>
      <c r="E339" s="1"/>
      <c r="F339" s="1"/>
    </row>
    <row r="340" spans="1:6" ht="12.75">
      <c r="A340" s="61"/>
      <c r="B340" s="1"/>
      <c r="C340" s="1"/>
      <c r="D340" s="1"/>
      <c r="E340" s="1"/>
      <c r="F340" s="1"/>
    </row>
    <row r="341" spans="1:6" ht="12.75">
      <c r="A341" s="61"/>
      <c r="B341" s="1"/>
      <c r="C341" s="1"/>
      <c r="D341" s="1"/>
      <c r="E341" s="1"/>
      <c r="F341" s="1"/>
    </row>
    <row r="342" spans="1:6" ht="12.75">
      <c r="A342" s="61"/>
      <c r="B342" s="1"/>
      <c r="C342" s="1"/>
      <c r="D342" s="1"/>
      <c r="E342" s="1"/>
      <c r="F342" s="1"/>
    </row>
    <row r="343" spans="1:6" ht="12.75">
      <c r="A343" s="61"/>
      <c r="B343" s="1"/>
      <c r="C343" s="1"/>
      <c r="D343" s="1"/>
      <c r="E343" s="1"/>
      <c r="F343" s="1"/>
    </row>
    <row r="344" spans="1:6" ht="12.75">
      <c r="A344" s="61"/>
      <c r="B344" s="1"/>
      <c r="C344" s="1"/>
      <c r="D344" s="1"/>
      <c r="E344" s="1"/>
      <c r="F344" s="1"/>
    </row>
    <row r="345" spans="1:6" ht="12.75">
      <c r="A345" s="61"/>
      <c r="B345" s="1"/>
      <c r="C345" s="1"/>
      <c r="D345" s="1"/>
      <c r="E345" s="1"/>
      <c r="F345" s="1"/>
    </row>
    <row r="346" spans="1:6" ht="12.75">
      <c r="A346" s="61"/>
      <c r="B346" s="1"/>
      <c r="C346" s="1"/>
      <c r="D346" s="1"/>
      <c r="E346" s="1"/>
      <c r="F346" s="1"/>
    </row>
    <row r="347" spans="1:6" ht="12.75">
      <c r="A347" s="61"/>
      <c r="B347" s="1"/>
      <c r="C347" s="1"/>
      <c r="D347" s="1"/>
      <c r="E347" s="1"/>
      <c r="F347" s="1"/>
    </row>
    <row r="348" spans="1:6" ht="12.75">
      <c r="A348" s="61"/>
      <c r="B348" s="1"/>
      <c r="C348" s="1"/>
      <c r="D348" s="1"/>
      <c r="E348" s="1"/>
      <c r="F348" s="1"/>
    </row>
    <row r="349" spans="1:6" ht="12.75">
      <c r="A349" s="61"/>
      <c r="B349" s="1"/>
      <c r="C349" s="1"/>
      <c r="D349" s="1"/>
      <c r="E349" s="1"/>
      <c r="F349" s="1"/>
    </row>
    <row r="350" spans="1:6" ht="12.75">
      <c r="A350" s="61"/>
      <c r="B350" s="1"/>
      <c r="C350" s="1"/>
      <c r="D350" s="1"/>
      <c r="E350" s="1"/>
      <c r="F350" s="1"/>
    </row>
    <row r="351" spans="1:6" ht="12.75">
      <c r="A351" s="61"/>
      <c r="B351" s="1"/>
      <c r="C351" s="1"/>
      <c r="D351" s="1"/>
      <c r="E351" s="1"/>
      <c r="F351" s="1"/>
    </row>
    <row r="352" spans="1:6" ht="12.75">
      <c r="A352" s="61"/>
      <c r="B352" s="1"/>
      <c r="C352" s="1"/>
      <c r="D352" s="1"/>
      <c r="E352" s="1"/>
      <c r="F352" s="1"/>
    </row>
    <row r="353" spans="1:6" ht="12.75">
      <c r="A353" s="61"/>
      <c r="B353" s="1"/>
      <c r="C353" s="1"/>
      <c r="D353" s="1"/>
      <c r="E353" s="1"/>
      <c r="F353" s="1"/>
    </row>
    <row r="354" spans="1:6" ht="12.75">
      <c r="A354" s="61"/>
      <c r="B354" s="1"/>
      <c r="C354" s="1"/>
      <c r="D354" s="1"/>
      <c r="E354" s="1"/>
      <c r="F354" s="1"/>
    </row>
    <row r="355" spans="1:6" ht="12.75">
      <c r="A355" s="61"/>
      <c r="B355" s="1"/>
      <c r="C355" s="1"/>
      <c r="D355" s="1"/>
      <c r="E355" s="1"/>
      <c r="F355" s="1"/>
    </row>
    <row r="356" spans="1:6" ht="12.75">
      <c r="A356" s="61"/>
      <c r="B356" s="1"/>
      <c r="C356" s="1"/>
      <c r="D356" s="1"/>
      <c r="E356" s="1"/>
      <c r="F356" s="1"/>
    </row>
    <row r="357" spans="1:6" ht="12.75">
      <c r="A357" s="61"/>
      <c r="B357" s="1"/>
      <c r="C357" s="1"/>
      <c r="D357" s="1"/>
      <c r="E357" s="1"/>
      <c r="F357" s="1"/>
    </row>
    <row r="358" spans="1:6" ht="12.75">
      <c r="A358" s="61"/>
      <c r="B358" s="1"/>
      <c r="C358" s="1"/>
      <c r="D358" s="1"/>
      <c r="E358" s="1"/>
      <c r="F358" s="1"/>
    </row>
    <row r="359" spans="1:6" ht="12.75">
      <c r="A359" s="61"/>
      <c r="B359" s="1"/>
      <c r="C359" s="1"/>
      <c r="D359" s="1"/>
      <c r="E359" s="1"/>
      <c r="F359" s="1"/>
    </row>
    <row r="360" spans="1:6" ht="12.75">
      <c r="A360" s="61"/>
      <c r="B360" s="1"/>
      <c r="C360" s="1"/>
      <c r="D360" s="1"/>
      <c r="E360" s="1"/>
      <c r="F360" s="1"/>
    </row>
    <row r="361" spans="1:6" ht="12.75">
      <c r="A361" s="61"/>
      <c r="B361" s="1"/>
      <c r="C361" s="1"/>
      <c r="D361" s="1"/>
      <c r="E361" s="1"/>
      <c r="F361" s="1"/>
    </row>
    <row r="362" spans="1:6" ht="12.75">
      <c r="A362" s="61"/>
      <c r="B362" s="1"/>
      <c r="C362" s="1"/>
      <c r="D362" s="1"/>
      <c r="E362" s="1"/>
      <c r="F362" s="1"/>
    </row>
    <row r="363" spans="1:6" ht="12.75">
      <c r="A363" s="61"/>
      <c r="B363" s="1"/>
      <c r="C363" s="1"/>
      <c r="D363" s="1"/>
      <c r="E363" s="1"/>
      <c r="F363" s="1"/>
    </row>
    <row r="364" spans="1:6" ht="12.75">
      <c r="A364" s="61"/>
      <c r="B364" s="1"/>
      <c r="C364" s="1"/>
      <c r="D364" s="1"/>
      <c r="E364" s="1"/>
      <c r="F364" s="1"/>
    </row>
    <row r="365" spans="1:6" ht="12.75">
      <c r="A365" s="61"/>
      <c r="B365" s="1"/>
      <c r="C365" s="1"/>
      <c r="D365" s="1"/>
      <c r="E365" s="1"/>
      <c r="F365" s="1"/>
    </row>
    <row r="366" spans="1:6" ht="12.75">
      <c r="A366" s="61"/>
      <c r="B366" s="1"/>
      <c r="C366" s="1"/>
      <c r="D366" s="1"/>
      <c r="E366" s="1"/>
      <c r="F366" s="1"/>
    </row>
    <row r="367" spans="1:6" ht="12.75">
      <c r="A367" s="61"/>
      <c r="B367" s="1"/>
      <c r="C367" s="1"/>
      <c r="D367" s="1"/>
      <c r="E367" s="1"/>
      <c r="F367" s="1"/>
    </row>
    <row r="368" spans="1:6" ht="12.75">
      <c r="A368" s="61"/>
      <c r="B368" s="1"/>
      <c r="C368" s="1"/>
      <c r="D368" s="1"/>
      <c r="E368" s="1"/>
      <c r="F368" s="1"/>
    </row>
    <row r="369" spans="1:6" ht="12.75">
      <c r="A369" s="61"/>
      <c r="B369" s="1"/>
      <c r="C369" s="1"/>
      <c r="D369" s="1"/>
      <c r="E369" s="1"/>
      <c r="F369" s="1"/>
    </row>
    <row r="370" spans="1:6" ht="12.75">
      <c r="A370" s="61"/>
      <c r="B370" s="1"/>
      <c r="C370" s="1"/>
      <c r="D370" s="1"/>
      <c r="E370" s="1"/>
      <c r="F370" s="1"/>
    </row>
    <row r="371" spans="1:6" ht="12.75">
      <c r="A371" s="61"/>
      <c r="B371" s="1"/>
      <c r="C371" s="1"/>
      <c r="D371" s="1"/>
      <c r="E371" s="1"/>
      <c r="F371" s="1"/>
    </row>
    <row r="372" spans="1:6" ht="12.75">
      <c r="A372" s="61"/>
      <c r="B372" s="1"/>
      <c r="C372" s="1"/>
      <c r="D372" s="1"/>
      <c r="E372" s="1"/>
      <c r="F372" s="1"/>
    </row>
    <row r="373" spans="1:6" ht="12.75">
      <c r="A373" s="61"/>
      <c r="B373" s="1"/>
      <c r="C373" s="1"/>
      <c r="D373" s="1"/>
      <c r="E373" s="1"/>
      <c r="F373" s="1"/>
    </row>
    <row r="374" spans="1:6" ht="12.75">
      <c r="A374" s="61"/>
      <c r="B374" s="1"/>
      <c r="C374" s="1"/>
      <c r="D374" s="1"/>
      <c r="E374" s="1"/>
      <c r="F374" s="1"/>
    </row>
    <row r="375" spans="1:6" ht="12.75">
      <c r="A375" s="61"/>
      <c r="B375" s="1"/>
      <c r="C375" s="1"/>
      <c r="D375" s="1"/>
      <c r="E375" s="1"/>
      <c r="F375" s="1"/>
    </row>
    <row r="376" spans="1:6" ht="12.75">
      <c r="A376" s="61"/>
      <c r="B376" s="1"/>
      <c r="C376" s="1"/>
      <c r="D376" s="1"/>
      <c r="E376" s="1"/>
      <c r="F376" s="1"/>
    </row>
    <row r="377" spans="1:6" ht="12.75">
      <c r="A377" s="61"/>
      <c r="B377" s="1"/>
      <c r="C377" s="1"/>
      <c r="D377" s="1"/>
      <c r="E377" s="1"/>
      <c r="F377" s="1"/>
    </row>
    <row r="378" spans="1:6" ht="12.75">
      <c r="A378" s="61"/>
      <c r="B378" s="1"/>
      <c r="C378" s="1"/>
      <c r="D378" s="1"/>
      <c r="E378" s="1"/>
      <c r="F378" s="1"/>
    </row>
  </sheetData>
  <sheetProtection password="8D61" sheet="1" objects="1" scenarios="1"/>
  <mergeCells count="4">
    <mergeCell ref="A1:F1"/>
    <mergeCell ref="A2:F2"/>
    <mergeCell ref="D4:E4"/>
    <mergeCell ref="D5:E5"/>
  </mergeCells>
  <printOptions horizontalCentered="1" verticalCentered="1"/>
  <pageMargins left="0" right="0" top="0.62" bottom="0.61" header="0.25" footer="0.26"/>
  <pageSetup horizontalDpi="300" verticalDpi="300" orientation="landscape" r:id="rId1"/>
  <headerFooter alignWithMargins="0">
    <oddHeader>&amp;C&amp;"Geneva,Bold"Tasks Analysis Comparisons of Some Tests of the WJ III™
&amp;8From: Mather, N., &amp; Jaffe, L. E. (in press). Woodcock-Johnson III: Recommendations, reports, and strategies. NY: John Wiley &amp; Sons.</oddHeader>
    <oddFooter>&amp;L&amp;8Woodcock-Johnson III by Richard W. Woodcock, Kevin S. McGrew, and Nancy Mather © Riverside Publishing, 2001.
All rights Reserved&amp;R&amp;8Page  &amp;P   
Template created by Ron Dumont and John Willis</oddFooter>
  </headerFooter>
  <rowBreaks count="1" manualBreakCount="1">
    <brk id="113" max="255" man="1"/>
  </rowBreaks>
</worksheet>
</file>

<file path=xl/worksheets/sheet2.xml><?xml version="1.0" encoding="utf-8"?>
<worksheet xmlns="http://schemas.openxmlformats.org/spreadsheetml/2006/main" xmlns:r="http://schemas.openxmlformats.org/officeDocument/2006/relationships">
  <dimension ref="A1:DS593"/>
  <sheetViews>
    <sheetView showGridLines="0" zoomScalePageLayoutView="0" workbookViewId="0" topLeftCell="A1">
      <selection activeCell="H17" sqref="H17"/>
    </sheetView>
  </sheetViews>
  <sheetFormatPr defaultColWidth="10.75390625" defaultRowHeight="12.75"/>
  <cols>
    <col min="1" max="1" width="16.625" style="3" customWidth="1"/>
    <col min="2" max="9" width="8.875" style="3" customWidth="1"/>
    <col min="10" max="13" width="8.00390625" style="3" customWidth="1"/>
    <col min="14" max="15" width="3.75390625" style="3" customWidth="1"/>
    <col min="16" max="16" width="3.625" style="3" customWidth="1"/>
    <col min="17" max="17" width="3.625" style="211" hidden="1" customWidth="1"/>
    <col min="18" max="18" width="6.875" style="211" hidden="1" customWidth="1"/>
    <col min="19" max="19" width="8.625" style="211" hidden="1" customWidth="1"/>
    <col min="20" max="20" width="7.125" style="211" hidden="1" customWidth="1"/>
    <col min="21" max="21" width="11.375" style="211" hidden="1" customWidth="1"/>
    <col min="22" max="22" width="18.625" style="212" hidden="1" customWidth="1"/>
    <col min="23" max="23" width="20.875" style="212" hidden="1" customWidth="1"/>
    <col min="24" max="24" width="6.875" style="212" hidden="1" customWidth="1"/>
    <col min="25" max="25" width="8.75390625" style="212" hidden="1" customWidth="1"/>
    <col min="26" max="26" width="7.25390625" style="211" hidden="1" customWidth="1"/>
    <col min="27" max="27" width="8.875" style="211" hidden="1" customWidth="1"/>
    <col min="28" max="28" width="7.875" style="212" hidden="1" customWidth="1"/>
    <col min="29" max="29" width="8.00390625" style="211" hidden="1" customWidth="1"/>
    <col min="30" max="30" width="7.625" style="211" hidden="1" customWidth="1"/>
    <col min="31" max="31" width="8.25390625" style="211" hidden="1" customWidth="1"/>
    <col min="32" max="32" width="106.625" style="211" hidden="1" customWidth="1"/>
    <col min="33" max="33" width="3.625" style="211" hidden="1" customWidth="1"/>
    <col min="34" max="63" width="3.75390625" style="211" hidden="1" customWidth="1"/>
    <col min="64" max="66" width="3.75390625" style="3" customWidth="1"/>
    <col min="67" max="115" width="4.125" style="3" customWidth="1"/>
    <col min="116" max="16384" width="10.75390625" style="3" customWidth="1"/>
  </cols>
  <sheetData>
    <row r="1" spans="1:31" ht="12.75" customHeight="1">
      <c r="A1" s="243" t="s">
        <v>281</v>
      </c>
      <c r="B1" s="243"/>
      <c r="C1" s="243"/>
      <c r="D1" s="243"/>
      <c r="E1" s="243"/>
      <c r="F1" s="243"/>
      <c r="G1" s="243"/>
      <c r="H1" s="243"/>
      <c r="I1" s="243"/>
      <c r="J1" s="243"/>
      <c r="K1" s="243"/>
      <c r="L1" s="243"/>
      <c r="M1" s="243"/>
      <c r="N1" s="17"/>
      <c r="O1" s="6"/>
      <c r="Y1" s="211"/>
      <c r="AC1" s="212"/>
      <c r="AD1" s="212"/>
      <c r="AE1" s="212"/>
    </row>
    <row r="2" spans="25:31" ht="1.5" customHeight="1">
      <c r="Y2" s="211"/>
      <c r="AC2" s="212"/>
      <c r="AD2" s="212"/>
      <c r="AE2" s="212"/>
    </row>
    <row r="3" spans="1:31" ht="11.25">
      <c r="A3" s="19" t="s">
        <v>370</v>
      </c>
      <c r="B3" s="236"/>
      <c r="C3" s="237"/>
      <c r="D3" s="237"/>
      <c r="E3" s="237"/>
      <c r="F3" s="238"/>
      <c r="G3" s="7"/>
      <c r="H3" s="19" t="s">
        <v>371</v>
      </c>
      <c r="I3" s="52"/>
      <c r="J3" s="7"/>
      <c r="K3" s="19" t="s">
        <v>372</v>
      </c>
      <c r="L3" s="53">
        <f ca="1">NOW()</f>
        <v>41765.68376620371</v>
      </c>
      <c r="N3" s="7"/>
      <c r="O3" s="7"/>
      <c r="P3" s="7"/>
      <c r="Q3" s="213"/>
      <c r="U3" s="211" t="e">
        <f>FIND(" ",B3)</f>
        <v>#VALUE!</v>
      </c>
      <c r="Y3" s="211"/>
      <c r="Z3" s="212"/>
      <c r="AC3" s="212"/>
      <c r="AD3" s="212"/>
      <c r="AE3" s="212"/>
    </row>
    <row r="4" spans="1:31" ht="3.75" customHeight="1">
      <c r="A4" s="7"/>
      <c r="B4" s="7"/>
      <c r="C4" s="7"/>
      <c r="D4" s="7"/>
      <c r="E4" s="7"/>
      <c r="F4" s="7"/>
      <c r="G4" s="7"/>
      <c r="J4" s="7"/>
      <c r="K4" s="7"/>
      <c r="L4" s="7"/>
      <c r="M4" s="7"/>
      <c r="N4" s="7"/>
      <c r="O4" s="7"/>
      <c r="P4" s="7"/>
      <c r="Q4" s="213"/>
      <c r="U4" s="211" t="e">
        <f>MID(B3,1,U3-1)</f>
        <v>#VALUE!</v>
      </c>
      <c r="Y4" s="211"/>
      <c r="AC4" s="212"/>
      <c r="AD4" s="212"/>
      <c r="AE4" s="212"/>
    </row>
    <row r="5" spans="1:31" ht="1.5" customHeight="1">
      <c r="A5" s="7"/>
      <c r="B5" s="7"/>
      <c r="C5" s="7"/>
      <c r="D5" s="7"/>
      <c r="E5" s="7"/>
      <c r="F5" s="7"/>
      <c r="G5" s="7"/>
      <c r="H5" s="19"/>
      <c r="I5" s="58"/>
      <c r="J5" s="7"/>
      <c r="K5" s="7"/>
      <c r="L5" s="7"/>
      <c r="M5" s="7"/>
      <c r="N5" s="7"/>
      <c r="O5" s="7"/>
      <c r="P5" s="7"/>
      <c r="Q5" s="213"/>
      <c r="Y5" s="211"/>
      <c r="AC5" s="212"/>
      <c r="AD5" s="212"/>
      <c r="AE5" s="212"/>
    </row>
    <row r="6" spans="2:31" ht="15">
      <c r="B6" s="240" t="s">
        <v>115</v>
      </c>
      <c r="C6" s="240"/>
      <c r="D6" s="240"/>
      <c r="E6" s="240"/>
      <c r="F6" s="240"/>
      <c r="G6" s="240"/>
      <c r="H6" s="240"/>
      <c r="I6" s="240"/>
      <c r="J6" s="240"/>
      <c r="K6" s="240"/>
      <c r="L6" s="20"/>
      <c r="M6" s="20"/>
      <c r="N6" s="20"/>
      <c r="O6" s="8"/>
      <c r="P6" s="7"/>
      <c r="Q6" s="213"/>
      <c r="R6" s="213"/>
      <c r="Y6" s="211"/>
      <c r="AC6" s="212"/>
      <c r="AD6" s="212"/>
      <c r="AE6" s="212"/>
    </row>
    <row r="7" spans="1:31" ht="6" customHeight="1">
      <c r="A7" s="7"/>
      <c r="B7" s="7"/>
      <c r="C7" s="7"/>
      <c r="D7" s="7"/>
      <c r="E7" s="7"/>
      <c r="F7" s="7"/>
      <c r="G7" s="7"/>
      <c r="H7" s="7"/>
      <c r="I7" s="7"/>
      <c r="L7" s="7"/>
      <c r="M7" s="7"/>
      <c r="N7" s="7"/>
      <c r="O7" s="7"/>
      <c r="P7" s="7"/>
      <c r="Y7" s="211"/>
      <c r="AC7" s="212"/>
      <c r="AD7" s="212"/>
      <c r="AE7" s="212"/>
    </row>
    <row r="8" spans="1:47" ht="9.75" customHeight="1">
      <c r="A8" s="19"/>
      <c r="B8" s="41" t="s">
        <v>137</v>
      </c>
      <c r="C8" s="41" t="s">
        <v>123</v>
      </c>
      <c r="D8" s="41" t="s">
        <v>376</v>
      </c>
      <c r="E8" s="41" t="s">
        <v>124</v>
      </c>
      <c r="F8" s="41" t="s">
        <v>125</v>
      </c>
      <c r="G8" s="41" t="s">
        <v>126</v>
      </c>
      <c r="H8" s="41" t="s">
        <v>127</v>
      </c>
      <c r="I8" s="18" t="s">
        <v>373</v>
      </c>
      <c r="J8" s="18" t="s">
        <v>128</v>
      </c>
      <c r="K8" s="31" t="s">
        <v>279</v>
      </c>
      <c r="M8" s="13"/>
      <c r="N8" s="13"/>
      <c r="U8" s="214" t="s">
        <v>137</v>
      </c>
      <c r="V8" s="214" t="s">
        <v>123</v>
      </c>
      <c r="W8" s="214" t="s">
        <v>376</v>
      </c>
      <c r="X8" s="214" t="s">
        <v>124</v>
      </c>
      <c r="Y8" s="214" t="s">
        <v>125</v>
      </c>
      <c r="Z8" s="214" t="s">
        <v>126</v>
      </c>
      <c r="AA8" s="214" t="s">
        <v>127</v>
      </c>
      <c r="AB8" s="212" t="s">
        <v>373</v>
      </c>
      <c r="AC8" s="212" t="s">
        <v>128</v>
      </c>
      <c r="AD8" s="212" t="s">
        <v>136</v>
      </c>
      <c r="AT8" s="215"/>
      <c r="AU8" s="216"/>
    </row>
    <row r="9" spans="1:30" ht="11.25" customHeight="1">
      <c r="A9" s="122" t="s">
        <v>117</v>
      </c>
      <c r="B9" s="51">
        <v>115</v>
      </c>
      <c r="C9" s="51">
        <v>74</v>
      </c>
      <c r="D9" s="51">
        <v>92</v>
      </c>
      <c r="E9" s="51">
        <v>122</v>
      </c>
      <c r="F9" s="51">
        <v>105</v>
      </c>
      <c r="G9" s="51">
        <v>106</v>
      </c>
      <c r="H9" s="51">
        <v>80</v>
      </c>
      <c r="I9" s="51">
        <v>115</v>
      </c>
      <c r="J9" s="210">
        <v>115</v>
      </c>
      <c r="K9" s="55">
        <v>47</v>
      </c>
      <c r="Q9" s="211">
        <f>COUNT(B9:H9)</f>
        <v>7</v>
      </c>
      <c r="R9" s="211">
        <f>IF(Q9=7,1,0)</f>
        <v>1</v>
      </c>
      <c r="S9" s="211" t="s">
        <v>374</v>
      </c>
      <c r="U9" s="211">
        <f>IF(B9="",0,1)</f>
        <v>1</v>
      </c>
      <c r="V9" s="211">
        <f aca="true" t="shared" si="0" ref="V9:AD9">IF(C9="",0,1)</f>
        <v>1</v>
      </c>
      <c r="W9" s="211">
        <f t="shared" si="0"/>
        <v>1</v>
      </c>
      <c r="X9" s="211">
        <f t="shared" si="0"/>
        <v>1</v>
      </c>
      <c r="Y9" s="211">
        <f t="shared" si="0"/>
        <v>1</v>
      </c>
      <c r="Z9" s="211">
        <f t="shared" si="0"/>
        <v>1</v>
      </c>
      <c r="AA9" s="211">
        <f t="shared" si="0"/>
        <v>1</v>
      </c>
      <c r="AB9" s="211">
        <f t="shared" si="0"/>
        <v>1</v>
      </c>
      <c r="AC9" s="211">
        <f t="shared" si="0"/>
        <v>1</v>
      </c>
      <c r="AD9" s="211">
        <f t="shared" si="0"/>
        <v>1</v>
      </c>
    </row>
    <row r="10" spans="1:25" ht="11.25" customHeight="1">
      <c r="A10" s="123" t="s">
        <v>118</v>
      </c>
      <c r="B10" s="51"/>
      <c r="C10" s="51"/>
      <c r="D10" s="51"/>
      <c r="E10" s="51"/>
      <c r="F10" s="51"/>
      <c r="G10" s="51"/>
      <c r="H10" s="51"/>
      <c r="I10" s="51"/>
      <c r="J10" s="51"/>
      <c r="K10" s="25"/>
      <c r="V10" s="211"/>
      <c r="W10" s="211"/>
      <c r="X10" s="211"/>
      <c r="Y10" s="211"/>
    </row>
    <row r="11" spans="1:25" ht="3.75" customHeight="1">
      <c r="A11" s="123"/>
      <c r="B11" s="123"/>
      <c r="C11" s="123"/>
      <c r="D11" s="123"/>
      <c r="E11" s="123"/>
      <c r="F11" s="123"/>
      <c r="G11" s="123"/>
      <c r="H11" s="123"/>
      <c r="I11" s="123"/>
      <c r="J11" s="123"/>
      <c r="K11" s="25"/>
      <c r="V11" s="211"/>
      <c r="W11" s="211"/>
      <c r="X11" s="211"/>
      <c r="Y11" s="211"/>
    </row>
    <row r="12" spans="1:25" ht="9.75" customHeight="1">
      <c r="A12"/>
      <c r="B12" s="41" t="s">
        <v>129</v>
      </c>
      <c r="C12" s="41" t="s">
        <v>130</v>
      </c>
      <c r="D12" s="41" t="s">
        <v>131</v>
      </c>
      <c r="E12" s="41" t="s">
        <v>132</v>
      </c>
      <c r="F12" s="41" t="s">
        <v>133</v>
      </c>
      <c r="G12" s="41" t="s">
        <v>134</v>
      </c>
      <c r="H12" s="42" t="s">
        <v>135</v>
      </c>
      <c r="I12" s="18" t="s">
        <v>138</v>
      </c>
      <c r="J12" s="18" t="s">
        <v>139</v>
      </c>
      <c r="K12" s="18" t="s">
        <v>140</v>
      </c>
      <c r="V12" s="211"/>
      <c r="W12" s="211"/>
      <c r="X12" s="211"/>
      <c r="Y12" s="211"/>
    </row>
    <row r="13" spans="1:25" ht="11.25" customHeight="1">
      <c r="A13" s="122" t="s">
        <v>117</v>
      </c>
      <c r="B13" s="51">
        <v>113</v>
      </c>
      <c r="C13" s="51">
        <v>117</v>
      </c>
      <c r="D13" s="51">
        <v>99</v>
      </c>
      <c r="E13" s="51">
        <v>101</v>
      </c>
      <c r="F13" s="51">
        <v>107</v>
      </c>
      <c r="G13" s="51">
        <v>94</v>
      </c>
      <c r="H13" s="51">
        <v>120</v>
      </c>
      <c r="I13" s="51">
        <v>76</v>
      </c>
      <c r="J13" s="51">
        <v>111</v>
      </c>
      <c r="K13" s="51">
        <v>79</v>
      </c>
      <c r="V13" s="211"/>
      <c r="W13" s="211"/>
      <c r="X13" s="211"/>
      <c r="Y13" s="211"/>
    </row>
    <row r="14" spans="1:30" ht="11.25" customHeight="1">
      <c r="A14" s="123" t="s">
        <v>118</v>
      </c>
      <c r="B14" s="51"/>
      <c r="C14" s="51"/>
      <c r="D14" s="51"/>
      <c r="E14" s="51"/>
      <c r="F14" s="51"/>
      <c r="G14" s="51"/>
      <c r="H14" s="51"/>
      <c r="I14" s="51"/>
      <c r="J14" s="51"/>
      <c r="K14" s="51"/>
      <c r="R14" s="213"/>
      <c r="U14" s="214" t="s">
        <v>129</v>
      </c>
      <c r="V14" s="214" t="s">
        <v>130</v>
      </c>
      <c r="W14" s="214" t="s">
        <v>131</v>
      </c>
      <c r="X14" s="214" t="s">
        <v>132</v>
      </c>
      <c r="Y14" s="214" t="s">
        <v>133</v>
      </c>
      <c r="Z14" s="214" t="s">
        <v>134</v>
      </c>
      <c r="AA14" s="217" t="s">
        <v>135</v>
      </c>
      <c r="AB14" s="212" t="s">
        <v>138</v>
      </c>
      <c r="AC14" s="212" t="s">
        <v>139</v>
      </c>
      <c r="AD14" s="212" t="s">
        <v>140</v>
      </c>
    </row>
    <row r="15" spans="1:30" ht="3.75" customHeight="1">
      <c r="A15" s="123"/>
      <c r="B15" s="123"/>
      <c r="C15" s="123"/>
      <c r="D15" s="123"/>
      <c r="E15" s="123"/>
      <c r="F15" s="123"/>
      <c r="G15" s="123"/>
      <c r="H15" s="123"/>
      <c r="I15" s="123"/>
      <c r="J15" s="123"/>
      <c r="K15" s="123"/>
      <c r="R15" s="213"/>
      <c r="U15" s="214"/>
      <c r="V15" s="214"/>
      <c r="W15" s="214"/>
      <c r="X15" s="214"/>
      <c r="Y15" s="214"/>
      <c r="Z15" s="214"/>
      <c r="AA15" s="217"/>
      <c r="AC15" s="212"/>
      <c r="AD15" s="212"/>
    </row>
    <row r="16" spans="1:30" ht="9" customHeight="1">
      <c r="A16"/>
      <c r="B16" s="41" t="s">
        <v>638</v>
      </c>
      <c r="C16" s="41" t="s">
        <v>637</v>
      </c>
      <c r="D16" s="41" t="s">
        <v>639</v>
      </c>
      <c r="E16" s="41" t="s">
        <v>640</v>
      </c>
      <c r="F16" s="41" t="s">
        <v>641</v>
      </c>
      <c r="G16" s="41" t="s">
        <v>642</v>
      </c>
      <c r="H16" s="42" t="s">
        <v>643</v>
      </c>
      <c r="I16" s="42" t="s">
        <v>644</v>
      </c>
      <c r="J16" s="42" t="s">
        <v>645</v>
      </c>
      <c r="K16"/>
      <c r="R16" s="213"/>
      <c r="U16" s="214"/>
      <c r="V16" s="214"/>
      <c r="W16" s="214"/>
      <c r="X16" s="214"/>
      <c r="Y16" s="214"/>
      <c r="Z16" s="214"/>
      <c r="AA16" s="217"/>
      <c r="AC16" s="212"/>
      <c r="AD16" s="212"/>
    </row>
    <row r="17" spans="1:30" ht="11.25" customHeight="1">
      <c r="A17" s="122" t="s">
        <v>117</v>
      </c>
      <c r="B17" s="51">
        <v>85</v>
      </c>
      <c r="C17" s="51"/>
      <c r="D17" s="51"/>
      <c r="E17" s="51"/>
      <c r="F17" s="51"/>
      <c r="G17" s="51">
        <v>85</v>
      </c>
      <c r="H17" s="51">
        <v>74</v>
      </c>
      <c r="I17" s="51"/>
      <c r="J17" s="51"/>
      <c r="K17"/>
      <c r="P17" s="7"/>
      <c r="Q17" s="211">
        <f>COUNT(B13:H13)</f>
        <v>7</v>
      </c>
      <c r="R17" s="211">
        <f>IF(Q17=7,1,0)</f>
        <v>1</v>
      </c>
      <c r="S17" s="211" t="s">
        <v>375</v>
      </c>
      <c r="U17" s="211">
        <f aca="true" t="shared" si="1" ref="U17:AD17">IF(B13="",0,1)</f>
        <v>1</v>
      </c>
      <c r="V17" s="211">
        <f t="shared" si="1"/>
        <v>1</v>
      </c>
      <c r="W17" s="211">
        <f t="shared" si="1"/>
        <v>1</v>
      </c>
      <c r="X17" s="211">
        <f t="shared" si="1"/>
        <v>1</v>
      </c>
      <c r="Y17" s="211">
        <f t="shared" si="1"/>
        <v>1</v>
      </c>
      <c r="Z17" s="211">
        <f t="shared" si="1"/>
        <v>1</v>
      </c>
      <c r="AA17" s="211">
        <f t="shared" si="1"/>
        <v>1</v>
      </c>
      <c r="AB17" s="211">
        <f t="shared" si="1"/>
        <v>1</v>
      </c>
      <c r="AC17" s="211">
        <f t="shared" si="1"/>
        <v>1</v>
      </c>
      <c r="AD17" s="211">
        <f t="shared" si="1"/>
        <v>1</v>
      </c>
    </row>
    <row r="18" spans="1:25" ht="11.25" customHeight="1">
      <c r="A18" s="123" t="s">
        <v>118</v>
      </c>
      <c r="B18" s="51"/>
      <c r="C18" s="51"/>
      <c r="D18" s="51"/>
      <c r="E18" s="51"/>
      <c r="F18" s="51"/>
      <c r="G18" s="51"/>
      <c r="H18" s="51"/>
      <c r="I18" s="51"/>
      <c r="J18" s="51"/>
      <c r="K18"/>
      <c r="P18" s="7"/>
      <c r="R18" s="218"/>
      <c r="V18" s="211"/>
      <c r="W18" s="211"/>
      <c r="X18" s="211"/>
      <c r="Y18" s="211"/>
    </row>
    <row r="19" spans="1:25" ht="3" customHeight="1">
      <c r="A19"/>
      <c r="B19"/>
      <c r="C19"/>
      <c r="D19"/>
      <c r="E19"/>
      <c r="F19"/>
      <c r="G19"/>
      <c r="H19"/>
      <c r="M19" s="7"/>
      <c r="N19" s="7"/>
      <c r="O19" s="7"/>
      <c r="P19" s="7"/>
      <c r="R19" s="213"/>
      <c r="U19" s="211">
        <f>U9+U17</f>
        <v>2</v>
      </c>
      <c r="V19" s="211" t="str">
        <f>IF(U19=1,"Verbal Ability (Std)","Verbal Ability (Ext)")</f>
        <v>Verbal Ability (Ext)</v>
      </c>
      <c r="W19" s="211"/>
      <c r="X19" s="211"/>
      <c r="Y19" s="211"/>
    </row>
    <row r="20" spans="1:25" ht="1.5" customHeight="1">
      <c r="A20"/>
      <c r="B20"/>
      <c r="C20"/>
      <c r="D20"/>
      <c r="E20"/>
      <c r="F20"/>
      <c r="G20"/>
      <c r="H20"/>
      <c r="M20" s="7"/>
      <c r="N20" s="7"/>
      <c r="O20" s="7"/>
      <c r="P20" s="7"/>
      <c r="Q20" s="211">
        <f>COUNT(B20:H20)</f>
        <v>0</v>
      </c>
      <c r="R20" s="211">
        <f>IF(Q20=7,1,0)</f>
        <v>0</v>
      </c>
      <c r="S20" s="211" t="s">
        <v>377</v>
      </c>
      <c r="T20" s="211">
        <f>COUNT(D20:H20)</f>
        <v>0</v>
      </c>
      <c r="U20" s="211">
        <f>SUM(V9+W9+X9+Y9+V17+W17+X17+Y17)</f>
        <v>8</v>
      </c>
      <c r="V20" s="211" t="str">
        <f>IF(U20=4,"Thinking Ability (Std)","Thinking Ability (Ext)")</f>
        <v>Thinking Ability (Ext)</v>
      </c>
      <c r="W20" s="211"/>
      <c r="X20" s="211"/>
      <c r="Y20" s="211"/>
    </row>
    <row r="21" spans="1:25" ht="2.25" customHeight="1">
      <c r="A21" s="7"/>
      <c r="I21" s="7"/>
      <c r="M21" s="7"/>
      <c r="N21" s="7"/>
      <c r="O21" s="7"/>
      <c r="P21" s="7"/>
      <c r="Q21" s="213"/>
      <c r="R21" s="213"/>
      <c r="U21" s="211">
        <f>SUM(Z9+AA9+Z17+AA17)</f>
        <v>4</v>
      </c>
      <c r="V21" s="211" t="str">
        <f>IF(U21=2,"Cognitive Efficiency (Std)","Cognitive Efficiency (Ext)")</f>
        <v>Cognitive Efficiency (Ext)</v>
      </c>
      <c r="W21" s="211"/>
      <c r="X21" s="211"/>
      <c r="Y21" s="211"/>
    </row>
    <row r="22" spans="1:36" ht="9.75" customHeight="1">
      <c r="A22" s="7"/>
      <c r="B22" s="7"/>
      <c r="C22" s="41" t="s">
        <v>378</v>
      </c>
      <c r="D22" s="62"/>
      <c r="E22" s="41" t="s">
        <v>379</v>
      </c>
      <c r="F22" s="239" t="s">
        <v>380</v>
      </c>
      <c r="G22" s="239"/>
      <c r="H22" s="239" t="s">
        <v>381</v>
      </c>
      <c r="I22" s="239"/>
      <c r="M22" s="7"/>
      <c r="P22" s="7"/>
      <c r="Q22" s="213"/>
      <c r="R22" s="213">
        <f>R9+R17</f>
        <v>2</v>
      </c>
      <c r="S22" s="211">
        <f>IF(R20=1,1,0)</f>
        <v>0</v>
      </c>
      <c r="T22" s="211">
        <f>R22+S22</f>
        <v>2</v>
      </c>
      <c r="W22" s="211"/>
      <c r="Y22" s="211"/>
      <c r="AJ22" s="219"/>
    </row>
    <row r="23" spans="1:36" ht="9.75" customHeight="1">
      <c r="A23" s="7"/>
      <c r="B23" s="7"/>
      <c r="C23" s="41" t="s">
        <v>382</v>
      </c>
      <c r="D23" s="62"/>
      <c r="E23" s="41" t="s">
        <v>282</v>
      </c>
      <c r="F23" s="239" t="s">
        <v>283</v>
      </c>
      <c r="G23" s="239"/>
      <c r="H23" s="239" t="s">
        <v>284</v>
      </c>
      <c r="I23" s="239"/>
      <c r="K23" s="244" t="s">
        <v>11</v>
      </c>
      <c r="L23" s="244"/>
      <c r="M23" s="244"/>
      <c r="P23" s="7"/>
      <c r="Q23" s="213"/>
      <c r="R23" s="213" t="s">
        <v>383</v>
      </c>
      <c r="W23" s="211"/>
      <c r="Y23" s="211"/>
      <c r="AJ23" s="219"/>
    </row>
    <row r="24" spans="2:36" ht="11.25" customHeight="1">
      <c r="B24" s="19" t="s">
        <v>369</v>
      </c>
      <c r="C24" s="55">
        <v>105</v>
      </c>
      <c r="D24" s="7"/>
      <c r="E24" s="25" t="str">
        <f>IF(C24="","",LOOKUP(C24,conversion)&amp;" PR")</f>
        <v>63 PR</v>
      </c>
      <c r="F24" s="234" t="str">
        <f>IF(C24="","",-5+C24&amp;" to "&amp;C24+5)</f>
        <v>100 to 110</v>
      </c>
      <c r="G24" s="234"/>
      <c r="H24" s="26" t="str">
        <f>IF(C24="","",LOOKUP((-5+C24),$B$554:$H$555)&amp;" to "&amp;LOOKUP((5+C24),$B$554:$H$555))</f>
        <v>Average to High Average</v>
      </c>
      <c r="I24" s="7"/>
      <c r="K24" s="244"/>
      <c r="L24" s="244"/>
      <c r="M24" s="244"/>
      <c r="P24" s="7"/>
      <c r="Q24" s="213">
        <f>IF(C24="",0,0.5)</f>
        <v>0.5</v>
      </c>
      <c r="R24" s="213"/>
      <c r="V24" s="220"/>
      <c r="W24" s="211"/>
      <c r="Y24" s="211"/>
      <c r="AJ24" s="219"/>
    </row>
    <row r="25" spans="2:36" ht="3.75" customHeight="1" hidden="1">
      <c r="B25" s="19"/>
      <c r="C25" s="28"/>
      <c r="D25" s="7"/>
      <c r="E25" s="25"/>
      <c r="F25" s="25"/>
      <c r="G25" s="25"/>
      <c r="H25" s="26"/>
      <c r="I25" s="7"/>
      <c r="K25" s="244"/>
      <c r="L25" s="244"/>
      <c r="M25" s="244"/>
      <c r="P25" s="7"/>
      <c r="Q25" s="213"/>
      <c r="R25" s="213"/>
      <c r="W25" s="221"/>
      <c r="Y25" s="211"/>
      <c r="AJ25" s="221"/>
    </row>
    <row r="26" spans="2:36" ht="1.5" customHeight="1" hidden="1">
      <c r="B26" s="19"/>
      <c r="C26" s="28"/>
      <c r="D26" s="7"/>
      <c r="E26" s="25"/>
      <c r="F26" s="25"/>
      <c r="G26" s="25"/>
      <c r="H26" s="26"/>
      <c r="I26" s="7"/>
      <c r="K26" s="244"/>
      <c r="L26" s="244"/>
      <c r="M26" s="244"/>
      <c r="P26" s="7"/>
      <c r="Q26" s="213"/>
      <c r="R26" s="213"/>
      <c r="W26" s="221"/>
      <c r="Y26" s="211"/>
      <c r="AJ26" s="221"/>
    </row>
    <row r="27" spans="2:36" ht="0.75" customHeight="1" hidden="1">
      <c r="B27" s="19"/>
      <c r="C27" s="28"/>
      <c r="D27" s="7"/>
      <c r="E27" s="25"/>
      <c r="F27" s="25"/>
      <c r="G27" s="7"/>
      <c r="H27" s="26"/>
      <c r="I27" s="7"/>
      <c r="K27" s="244"/>
      <c r="L27" s="244"/>
      <c r="M27" s="244"/>
      <c r="P27" s="7"/>
      <c r="Q27" s="213">
        <f>SUM(Q24:Q24)</f>
        <v>0.5</v>
      </c>
      <c r="R27" s="213">
        <f>IF(Q27&lt;1,1,IF(Q27&gt;3,3,2))</f>
        <v>1</v>
      </c>
      <c r="W27" s="221"/>
      <c r="Y27" s="211"/>
      <c r="AF27" s="211" t="s">
        <v>122</v>
      </c>
      <c r="AJ27" s="221"/>
    </row>
    <row r="28" spans="2:36" ht="2.25" customHeight="1">
      <c r="B28" s="19"/>
      <c r="C28" s="28"/>
      <c r="D28" s="7"/>
      <c r="E28" s="25"/>
      <c r="F28" s="25"/>
      <c r="G28" s="7"/>
      <c r="H28" s="26"/>
      <c r="I28" s="7"/>
      <c r="K28" s="244"/>
      <c r="L28" s="244"/>
      <c r="M28" s="244"/>
      <c r="P28" s="7"/>
      <c r="Q28" s="213"/>
      <c r="R28" s="213"/>
      <c r="W28" s="221"/>
      <c r="Y28" s="211"/>
      <c r="AJ28" s="221"/>
    </row>
    <row r="29" spans="2:36" ht="12.75">
      <c r="B29"/>
      <c r="C29"/>
      <c r="D29" s="124" t="s">
        <v>118</v>
      </c>
      <c r="E29" s="43"/>
      <c r="F29" s="241"/>
      <c r="G29" s="241"/>
      <c r="H29" s="241"/>
      <c r="I29" s="241"/>
      <c r="K29" s="244"/>
      <c r="L29" s="244"/>
      <c r="M29" s="244"/>
      <c r="P29" s="7"/>
      <c r="Q29" s="213"/>
      <c r="R29" s="213"/>
      <c r="S29" s="211">
        <f>COUNT(B13:H13)</f>
        <v>7</v>
      </c>
      <c r="T29" s="211">
        <f>B13+C13+D13+E13+F13+G13+H13</f>
        <v>751</v>
      </c>
      <c r="W29" s="221" t="s">
        <v>143</v>
      </c>
      <c r="Y29" s="211"/>
      <c r="AJ29" s="221"/>
    </row>
    <row r="30" spans="2:36" ht="11.25" customHeight="1">
      <c r="B30" s="23" t="str">
        <f>V19</f>
        <v>Verbal Ability (Ext)</v>
      </c>
      <c r="C30" s="56">
        <v>115</v>
      </c>
      <c r="D30" s="56"/>
      <c r="E30" s="25" t="str">
        <f aca="true" t="shared" si="2" ref="E30:E37">IF(C30="","",LOOKUP(C30,conversion)&amp;" PR")</f>
        <v>84 PR</v>
      </c>
      <c r="F30" s="234" t="str">
        <f>IF(C30="","",-9+C30&amp;" to "&amp;C30+9)</f>
        <v>106 to 124</v>
      </c>
      <c r="G30" s="234"/>
      <c r="H30" s="26" t="str">
        <f>IF(C30="","",LOOKUP((-9+C30),$B$554:$H$555)&amp;" to "&amp;LOOKUP((9+C30),$B$554:$H$555))</f>
        <v>Average to Superior</v>
      </c>
      <c r="I30" s="7"/>
      <c r="K30" s="244"/>
      <c r="L30" s="244"/>
      <c r="M30" s="244"/>
      <c r="P30" s="7"/>
      <c r="Q30" s="222">
        <f>(C31+C33+C34+C35+C36+C37)/6</f>
        <v>82.83333333333333</v>
      </c>
      <c r="R30" s="213"/>
      <c r="S30" s="211">
        <f>COUNT(B20:H20)</f>
        <v>0</v>
      </c>
      <c r="T30" s="211">
        <f>B20+C20+D20+E20+F20+G20+H20</f>
        <v>0</v>
      </c>
      <c r="W30" s="221" t="s">
        <v>144</v>
      </c>
      <c r="Y30" s="211"/>
      <c r="AJ30" s="221"/>
    </row>
    <row r="31" spans="2:63" s="29" customFormat="1" ht="11.25" customHeight="1">
      <c r="B31" s="23" t="str">
        <f>V20</f>
        <v>Thinking Ability (Ext)</v>
      </c>
      <c r="C31" s="55">
        <v>105</v>
      </c>
      <c r="D31" s="55"/>
      <c r="E31" s="25" t="str">
        <f t="shared" si="2"/>
        <v>63 PR</v>
      </c>
      <c r="F31" s="234" t="str">
        <f>IF(C31="","",-8+C31&amp;" to "&amp;C31+8)</f>
        <v>97 to 113</v>
      </c>
      <c r="G31" s="234"/>
      <c r="H31" s="26" t="str">
        <f>IF(C31="","",LOOKUP((-8+C31),$B$554:$H$555)&amp;" to "&amp;LOOKUP((8+C31),$B$554:$H$555))</f>
        <v>Average to High Average</v>
      </c>
      <c r="I31" s="10"/>
      <c r="K31" s="244"/>
      <c r="L31" s="244"/>
      <c r="M31" s="244"/>
      <c r="N31" s="3"/>
      <c r="O31" s="3"/>
      <c r="P31" s="10"/>
      <c r="Q31" s="222">
        <f>(C30+C33+C34+C35+C36+C37)/6</f>
        <v>84.5</v>
      </c>
      <c r="R31" s="223"/>
      <c r="S31" s="211" t="e">
        <f>S30+S29+#REF!</f>
        <v>#REF!</v>
      </c>
      <c r="T31" s="211" t="e">
        <f>#REF!+T29+T30</f>
        <v>#REF!</v>
      </c>
      <c r="U31" s="211"/>
      <c r="V31" s="212"/>
      <c r="W31" s="221" t="s">
        <v>145</v>
      </c>
      <c r="X31" s="212"/>
      <c r="Y31" s="211"/>
      <c r="Z31" s="211"/>
      <c r="AA31" s="211"/>
      <c r="AB31" s="224"/>
      <c r="AC31" s="225"/>
      <c r="AD31" s="225"/>
      <c r="AE31" s="225"/>
      <c r="AF31" s="211"/>
      <c r="AG31" s="225"/>
      <c r="AH31" s="225"/>
      <c r="AI31" s="225"/>
      <c r="AJ31" s="211"/>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row>
    <row r="32" spans="2:63" s="29" customFormat="1" ht="11.25" customHeight="1">
      <c r="B32" s="23" t="s">
        <v>646</v>
      </c>
      <c r="C32" s="55"/>
      <c r="D32" s="55"/>
      <c r="E32" s="25">
        <f>IF(C32="","",LOOKUP(C32,conversion)&amp;" PR")</f>
      </c>
      <c r="F32" s="234">
        <f>IF(C32="","",-8+C32&amp;" to "&amp;C32+8)</f>
      </c>
      <c r="G32" s="234"/>
      <c r="H32" s="26">
        <f>IF(C32="","",LOOKUP((-8+C32),$B$554:$H$555)&amp;" to "&amp;LOOKUP((8+C32),$B$554:$H$555))</f>
      </c>
      <c r="I32" s="10"/>
      <c r="K32" s="244"/>
      <c r="L32" s="244"/>
      <c r="M32" s="244"/>
      <c r="N32" s="3"/>
      <c r="O32" s="3"/>
      <c r="P32" s="10"/>
      <c r="Q32" s="222"/>
      <c r="R32" s="223"/>
      <c r="S32" s="211"/>
      <c r="T32" s="211"/>
      <c r="U32" s="211"/>
      <c r="V32" s="212"/>
      <c r="W32" s="221"/>
      <c r="X32" s="212"/>
      <c r="Y32" s="211"/>
      <c r="Z32" s="211"/>
      <c r="AA32" s="211"/>
      <c r="AB32" s="224"/>
      <c r="AC32" s="225"/>
      <c r="AD32" s="225"/>
      <c r="AE32" s="225"/>
      <c r="AF32" s="211"/>
      <c r="AG32" s="225"/>
      <c r="AH32" s="225"/>
      <c r="AI32" s="225"/>
      <c r="AJ32" s="211"/>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row>
    <row r="33" spans="2:63" s="29" customFormat="1" ht="11.25" customHeight="1">
      <c r="B33" s="23" t="str">
        <f>V21</f>
        <v>Cognitive Efficiency (Ext)</v>
      </c>
      <c r="C33" s="55">
        <v>100</v>
      </c>
      <c r="D33" s="55"/>
      <c r="E33" s="25" t="str">
        <f t="shared" si="2"/>
        <v>50 PR</v>
      </c>
      <c r="F33" s="234" t="str">
        <f>IF(C33="","",-7+C33&amp;" to "&amp;C33+7)</f>
        <v>93 to 107</v>
      </c>
      <c r="G33" s="234"/>
      <c r="H33" s="26" t="str">
        <f>IF(C33="","",LOOKUP((-7+C33),$B$554:$H$555)&amp;" to "&amp;LOOKUP((7+C33),$B$554:$H$555))</f>
        <v>Average to Average</v>
      </c>
      <c r="I33" s="10"/>
      <c r="K33" s="244"/>
      <c r="L33" s="244"/>
      <c r="M33" s="244"/>
      <c r="N33" s="3"/>
      <c r="O33" s="3"/>
      <c r="P33" s="10"/>
      <c r="Q33" s="222">
        <f>(C30+C31+C34+C35+C36+C37)/6</f>
        <v>85.33333333333333</v>
      </c>
      <c r="R33" s="223"/>
      <c r="S33" s="211"/>
      <c r="T33" s="211"/>
      <c r="U33" s="211"/>
      <c r="V33" s="212"/>
      <c r="W33" s="221" t="s">
        <v>146</v>
      </c>
      <c r="X33" s="212"/>
      <c r="Y33" s="211"/>
      <c r="Z33" s="211"/>
      <c r="AA33" s="211"/>
      <c r="AB33" s="224"/>
      <c r="AC33" s="225"/>
      <c r="AD33" s="225"/>
      <c r="AE33" s="225"/>
      <c r="AF33" s="211"/>
      <c r="AG33" s="225"/>
      <c r="AH33" s="225"/>
      <c r="AI33" s="225"/>
      <c r="AJ33" s="211"/>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row>
    <row r="34" spans="3:63" s="29" customFormat="1" ht="11.25" customHeight="1">
      <c r="C34"/>
      <c r="D34"/>
      <c r="E34" s="25">
        <f t="shared" si="2"/>
      </c>
      <c r="F34" s="234">
        <f>IF(C34="","",-10+C34&amp;" to "&amp;C34+10)</f>
      </c>
      <c r="G34" s="234"/>
      <c r="H34" s="26">
        <f>IF(C34="","",LOOKUP((-10+C34),$B$554:$H$555)&amp;" to "&amp;LOOKUP((10+C34),$B$554:$H$555))</f>
      </c>
      <c r="I34" s="10"/>
      <c r="K34" s="74"/>
      <c r="L34" s="74"/>
      <c r="M34" s="74"/>
      <c r="N34" s="3"/>
      <c r="O34" s="3"/>
      <c r="P34" s="10"/>
      <c r="Q34" s="222">
        <f>(C30+C31+C33+C35+C36+C37)/6</f>
        <v>102</v>
      </c>
      <c r="R34" s="223"/>
      <c r="S34" s="211"/>
      <c r="T34" s="211"/>
      <c r="U34" s="211"/>
      <c r="V34" s="212"/>
      <c r="W34" s="219" t="s">
        <v>147</v>
      </c>
      <c r="X34" s="212"/>
      <c r="Y34" s="211"/>
      <c r="Z34" s="211"/>
      <c r="AA34" s="211"/>
      <c r="AB34" s="224"/>
      <c r="AC34" s="225"/>
      <c r="AD34" s="225"/>
      <c r="AE34" s="225"/>
      <c r="AF34" s="211"/>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row>
    <row r="35" spans="2:63" s="29" customFormat="1" ht="11.25" customHeight="1">
      <c r="B35" s="27" t="s">
        <v>273</v>
      </c>
      <c r="C35" s="55">
        <v>115</v>
      </c>
      <c r="D35" s="55"/>
      <c r="E35" s="25" t="str">
        <f t="shared" si="2"/>
        <v>84 PR</v>
      </c>
      <c r="F35" s="234" t="str">
        <f>IF(C35="","",-9+C35&amp;" to "&amp;C35+9)</f>
        <v>106 to 124</v>
      </c>
      <c r="G35" s="234"/>
      <c r="H35" s="26" t="str">
        <f>IF(C35="","",LOOKUP((-9+C35),$B$554:$H$555)&amp;" to "&amp;LOOKUP((9+C35),$B$554:$H$555))</f>
        <v>Average to Superior</v>
      </c>
      <c r="I35" s="10"/>
      <c r="K35" s="74"/>
      <c r="L35" s="74"/>
      <c r="M35" s="74"/>
      <c r="N35" s="3"/>
      <c r="O35" s="3"/>
      <c r="P35" s="10"/>
      <c r="Q35" s="222">
        <f>(C30+C31+C33+C34+C36+C37)/6</f>
        <v>82.83333333333333</v>
      </c>
      <c r="R35" s="223"/>
      <c r="S35" s="211"/>
      <c r="T35" s="211"/>
      <c r="U35" s="211"/>
      <c r="V35" s="212"/>
      <c r="W35" s="219" t="s">
        <v>148</v>
      </c>
      <c r="X35" s="212"/>
      <c r="Y35" s="211"/>
      <c r="Z35" s="211"/>
      <c r="AA35" s="211"/>
      <c r="AB35" s="224"/>
      <c r="AC35" s="225"/>
      <c r="AD35" s="225"/>
      <c r="AE35" s="225"/>
      <c r="AF35" s="211"/>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row>
    <row r="36" spans="2:25" ht="11.25" customHeight="1">
      <c r="B36" s="19" t="s">
        <v>45</v>
      </c>
      <c r="C36" s="56">
        <v>83</v>
      </c>
      <c r="D36" s="56"/>
      <c r="E36" s="25" t="str">
        <f t="shared" si="2"/>
        <v>13 PR</v>
      </c>
      <c r="F36" s="234" t="str">
        <f>IF(C36="","",-9+C36&amp;" to "&amp;C36+9)</f>
        <v>74 to 92</v>
      </c>
      <c r="G36" s="234"/>
      <c r="H36" s="26" t="str">
        <f>IF(C36="","",LOOKUP((-9+C36),$B$554:$H$555)&amp;" to "&amp;LOOKUP((9+C36),$B$554:$H$555))</f>
        <v>Low to Average</v>
      </c>
      <c r="I36" s="7"/>
      <c r="K36" s="74"/>
      <c r="L36" s="74"/>
      <c r="M36" s="74"/>
      <c r="P36" s="7"/>
      <c r="Q36" s="222">
        <f>(C30+C31+C33+C34+C35+C37)/6</f>
        <v>88.16666666666667</v>
      </c>
      <c r="R36" s="213"/>
      <c r="Y36" s="211"/>
    </row>
    <row r="37" spans="1:25" ht="11.25" customHeight="1">
      <c r="A37" s="11"/>
      <c r="B37" s="27" t="s">
        <v>647</v>
      </c>
      <c r="C37" s="56">
        <v>94</v>
      </c>
      <c r="D37" s="56"/>
      <c r="E37" s="25" t="str">
        <f t="shared" si="2"/>
        <v>34 PR</v>
      </c>
      <c r="F37" s="234" t="str">
        <f>IF(C37="","",-9+C37&amp;" to "&amp;C37+9)</f>
        <v>85 to 103</v>
      </c>
      <c r="G37" s="234"/>
      <c r="H37" s="26" t="str">
        <f>IF(C37="","",LOOKUP((-9+C37),$B$554:$H$555)&amp;" to "&amp;LOOKUP((9+C37),$B$554:$H$555))</f>
        <v>Low Average to Average</v>
      </c>
      <c r="I37" s="7"/>
      <c r="K37" s="74"/>
      <c r="L37" s="74"/>
      <c r="M37" s="74"/>
      <c r="N37" s="13"/>
      <c r="O37" s="11"/>
      <c r="P37" s="7"/>
      <c r="Q37" s="222">
        <f>(C30+C31+C33+C34+C35+C36)/6</f>
        <v>86.33333333333333</v>
      </c>
      <c r="R37" s="213"/>
      <c r="W37" s="226"/>
      <c r="X37" s="226"/>
      <c r="Y37" s="211"/>
    </row>
    <row r="38" spans="1:25" ht="11.25" customHeight="1">
      <c r="A38" s="11"/>
      <c r="B38" s="27" t="s">
        <v>648</v>
      </c>
      <c r="C38" s="56"/>
      <c r="D38" s="56"/>
      <c r="E38" s="25">
        <f>IF(C38="","",LOOKUP(C38,conversion)&amp;" PR")</f>
      </c>
      <c r="F38" s="234">
        <f>IF(C38="","",-9+C38&amp;" to "&amp;C38+9)</f>
      </c>
      <c r="G38" s="234"/>
      <c r="H38" s="26">
        <f>IF(C38="","",LOOKUP((-9+C38),$B$554:$H$555)&amp;" to "&amp;LOOKUP((9+C38),$B$554:$H$555))</f>
      </c>
      <c r="I38" s="7"/>
      <c r="K38" s="74"/>
      <c r="L38" s="74"/>
      <c r="M38" s="74"/>
      <c r="N38" s="13"/>
      <c r="O38" s="11"/>
      <c r="P38" s="7"/>
      <c r="Q38" s="222"/>
      <c r="R38" s="213"/>
      <c r="W38" s="226"/>
      <c r="X38" s="226"/>
      <c r="Y38" s="211"/>
    </row>
    <row r="39" spans="1:25" ht="11.25" customHeight="1">
      <c r="A39" s="11"/>
      <c r="B39" s="27" t="s">
        <v>47</v>
      </c>
      <c r="C39" s="55">
        <v>114</v>
      </c>
      <c r="D39" s="55"/>
      <c r="E39" s="25" t="str">
        <f aca="true" t="shared" si="3" ref="E39:E57">IF(C39="","",LOOKUP(C39,conversion)&amp;" PR")</f>
        <v>82 PR</v>
      </c>
      <c r="F39" s="234" t="str">
        <f>IF(C39="","",-11+C39&amp;" to "&amp;C39+11)</f>
        <v>103 to 125</v>
      </c>
      <c r="G39" s="234"/>
      <c r="H39" s="26" t="str">
        <f>IF(C39="","",LOOKUP((-11+C39),$B$554:$H$555)&amp;" to "&amp;LOOKUP((11+C39),$B$554:$H$555))</f>
        <v>Average to Superior</v>
      </c>
      <c r="I39" s="7"/>
      <c r="N39" s="13"/>
      <c r="O39" s="11"/>
      <c r="P39" s="7"/>
      <c r="R39" s="213"/>
      <c r="W39" s="226"/>
      <c r="X39" s="226"/>
      <c r="Y39" s="211"/>
    </row>
    <row r="40" spans="1:25" ht="11.25" customHeight="1">
      <c r="A40" s="7"/>
      <c r="B40" s="19" t="s">
        <v>48</v>
      </c>
      <c r="C40" s="57">
        <v>107</v>
      </c>
      <c r="D40" s="57"/>
      <c r="E40" s="25" t="str">
        <f t="shared" si="3"/>
        <v>68 PR</v>
      </c>
      <c r="F40" s="234" t="str">
        <f>IF(C40="","",-9+C40&amp;" to "&amp;C40+9)</f>
        <v>98 to 116</v>
      </c>
      <c r="G40" s="234"/>
      <c r="H40" s="26" t="str">
        <f>IF(C40="","",LOOKUP((-9+C40),$B$554:$H$555)&amp;" to "&amp;LOOKUP((9+C40),$B$554:$H$555))</f>
        <v>Average to High Average</v>
      </c>
      <c r="I40" s="7"/>
      <c r="N40" s="7"/>
      <c r="O40" s="11"/>
      <c r="P40" s="7"/>
      <c r="R40" s="213"/>
      <c r="W40" s="226"/>
      <c r="X40" s="226"/>
      <c r="Y40" s="211"/>
    </row>
    <row r="41" spans="1:25" ht="11.25" customHeight="1">
      <c r="A41" s="7"/>
      <c r="B41" s="19" t="s">
        <v>649</v>
      </c>
      <c r="C41" s="57"/>
      <c r="D41" s="57"/>
      <c r="E41" s="25">
        <f>IF(C41="","",LOOKUP(C41,conversion)&amp;" PR")</f>
      </c>
      <c r="F41" s="234">
        <f>IF(C41="","",-9+C41&amp;" to "&amp;C41+9)</f>
      </c>
      <c r="G41" s="234"/>
      <c r="H41" s="26">
        <f>IF(C41="","",LOOKUP((-9+C41),$B$554:$H$555)&amp;" to "&amp;LOOKUP((9+C41),$B$554:$H$555))</f>
      </c>
      <c r="I41" s="7"/>
      <c r="N41" s="7"/>
      <c r="O41" s="11"/>
      <c r="P41" s="7"/>
      <c r="R41" s="213"/>
      <c r="W41" s="226"/>
      <c r="X41" s="226"/>
      <c r="Y41" s="211"/>
    </row>
    <row r="42" spans="2:25" ht="11.25" customHeight="1">
      <c r="B42" s="27" t="s">
        <v>49</v>
      </c>
      <c r="C42" s="57">
        <v>100</v>
      </c>
      <c r="D42" s="57"/>
      <c r="E42" s="25" t="str">
        <f t="shared" si="3"/>
        <v>50 PR</v>
      </c>
      <c r="F42" s="234" t="str">
        <f>IF(C42="","",-7+C42&amp;" to "&amp;C42+7)</f>
        <v>93 to 107</v>
      </c>
      <c r="G42" s="234"/>
      <c r="H42" s="26" t="str">
        <f>IF(C42="","",LOOKUP((-7+C42),$B$554:$H$555)&amp;" to "&amp;LOOKUP((7+C42),$B$554:$H$555))</f>
        <v>Average to Average</v>
      </c>
      <c r="I42" s="7"/>
      <c r="L42" s="13"/>
      <c r="M42" s="24"/>
      <c r="P42" s="7"/>
      <c r="Q42" s="213"/>
      <c r="R42" s="213"/>
      <c r="W42" s="226"/>
      <c r="X42" s="226"/>
      <c r="Y42" s="211"/>
    </row>
    <row r="43" spans="2:25" ht="11.25" customHeight="1">
      <c r="B43" s="27" t="s">
        <v>50</v>
      </c>
      <c r="C43" s="57">
        <v>100</v>
      </c>
      <c r="D43" s="57"/>
      <c r="E43" s="25" t="str">
        <f>IF(C43="","",LOOKUP(C43,conversion)&amp;" PR")</f>
        <v>50 PR</v>
      </c>
      <c r="F43" s="234" t="str">
        <f>IF(C43="","",-10+C43&amp;" to "&amp;C43+10)</f>
        <v>90 to 110</v>
      </c>
      <c r="G43" s="234"/>
      <c r="H43" s="26" t="str">
        <f>IF(C43="","",LOOKUP((-10+C43),$B$554:$H$555)&amp;" to "&amp;LOOKUP((10+C43),$B$554:$H$555))</f>
        <v>Average to High Average</v>
      </c>
      <c r="I43" s="7"/>
      <c r="L43" s="13"/>
      <c r="M43" s="24"/>
      <c r="P43" s="7"/>
      <c r="Q43" s="213"/>
      <c r="R43" s="213"/>
      <c r="W43" s="226"/>
      <c r="X43" s="226"/>
      <c r="Y43" s="211"/>
    </row>
    <row r="44" spans="3:108" ht="11.25" customHeight="1">
      <c r="C44"/>
      <c r="D44"/>
      <c r="E44" s="25">
        <f t="shared" si="3"/>
      </c>
      <c r="F44" s="234">
        <f>IF(C44="","",-7+C44&amp;" to "&amp;C44+7)</f>
      </c>
      <c r="G44" s="234"/>
      <c r="H44" s="26">
        <f>IF(C44="","",LOOKUP((-7+C44),$B$554:$H$555)&amp;" to "&amp;LOOKUP((7+C44),$B$554:$H$555))</f>
      </c>
      <c r="I44" s="7"/>
      <c r="M44" s="7"/>
      <c r="P44" s="7"/>
      <c r="Q44" s="213"/>
      <c r="R44" s="213"/>
      <c r="W44" s="226"/>
      <c r="X44" s="226"/>
      <c r="Y44" s="211"/>
      <c r="AJ44" s="212"/>
      <c r="AR44" s="212"/>
      <c r="AZ44" s="212"/>
      <c r="BH44" s="212"/>
      <c r="BP44" s="18"/>
      <c r="BX44" s="18"/>
      <c r="CF44" s="18"/>
      <c r="CN44" s="18"/>
      <c r="CV44" s="18"/>
      <c r="DD44" s="18"/>
    </row>
    <row r="45" spans="2:108" ht="11.25" customHeight="1">
      <c r="B45" s="27" t="s">
        <v>239</v>
      </c>
      <c r="C45" s="55">
        <v>123</v>
      </c>
      <c r="D45" s="55"/>
      <c r="E45" s="25" t="str">
        <f t="shared" si="3"/>
        <v>94 PR</v>
      </c>
      <c r="F45" s="234" t="str">
        <f>IF(C45="","",-11+C45&amp;" to "&amp;C45+11)</f>
        <v>112 to 134</v>
      </c>
      <c r="G45" s="234"/>
      <c r="H45" s="26" t="str">
        <f>IF(C45="","",LOOKUP((-11+C45),$B$554:$H$555)&amp;" to "&amp;LOOKUP((11+C45),$B$554:$H$555))</f>
        <v>High Average to Very Superior</v>
      </c>
      <c r="I45" s="7"/>
      <c r="P45" s="7"/>
      <c r="Q45" s="213"/>
      <c r="R45" s="213"/>
      <c r="AD45" s="212"/>
      <c r="AE45" s="227" t="s">
        <v>149</v>
      </c>
      <c r="AG45" s="212"/>
      <c r="DD45" s="18"/>
    </row>
    <row r="46" spans="2:108" ht="11.25" customHeight="1">
      <c r="B46" s="27" t="s">
        <v>240</v>
      </c>
      <c r="C46" s="57">
        <v>111</v>
      </c>
      <c r="D46" s="57"/>
      <c r="E46" s="25" t="str">
        <f t="shared" si="3"/>
        <v>77 PR</v>
      </c>
      <c r="F46" s="234" t="str">
        <f>IF(C46="","",-11+C46&amp;" to "&amp;C46+11)</f>
        <v>100 to 122</v>
      </c>
      <c r="G46" s="234"/>
      <c r="H46" s="26" t="str">
        <f>IF(C46="","",LOOKUP((-11+C46),$B$554:$H$555)&amp;" to "&amp;LOOKUP((11+C46),$B$554:$H$555))</f>
        <v>Average to Superior</v>
      </c>
      <c r="I46" s="7"/>
      <c r="P46" s="7"/>
      <c r="Q46" s="213"/>
      <c r="R46" s="213"/>
      <c r="AD46" s="212"/>
      <c r="DD46" s="18"/>
    </row>
    <row r="47" spans="2:108" ht="11.25" customHeight="1">
      <c r="B47" s="27" t="s">
        <v>264</v>
      </c>
      <c r="C47" s="57">
        <v>93</v>
      </c>
      <c r="D47" s="57"/>
      <c r="E47" s="25" t="str">
        <f t="shared" si="3"/>
        <v>32 PR</v>
      </c>
      <c r="F47" s="234" t="str">
        <f>IF(C47="","",-9+C47&amp;" to "&amp;C47+9)</f>
        <v>84 to 102</v>
      </c>
      <c r="G47" s="234"/>
      <c r="H47" s="26" t="str">
        <f>IF(C47="","",LOOKUP((-9+C47),$B$554:$H$555)&amp;" to "&amp;LOOKUP((9+C47),$B$554:$H$555))</f>
        <v>Low Average to Average</v>
      </c>
      <c r="I47" s="7"/>
      <c r="P47" s="7"/>
      <c r="Q47" s="213"/>
      <c r="R47" s="213"/>
      <c r="AD47" s="212"/>
      <c r="DD47" s="18"/>
    </row>
    <row r="48" spans="2:108" ht="11.25" customHeight="1">
      <c r="B48" s="27" t="s">
        <v>241</v>
      </c>
      <c r="C48" s="57">
        <v>88</v>
      </c>
      <c r="D48" s="57"/>
      <c r="E48" s="25" t="str">
        <f>IF(C48="","",LOOKUP(C48,conversion)&amp;" PR")</f>
        <v>21 PR</v>
      </c>
      <c r="F48" s="234" t="str">
        <f>IF(C48="","",-8+C48&amp;" to "&amp;C48+8)</f>
        <v>80 to 96</v>
      </c>
      <c r="G48" s="234"/>
      <c r="H48" s="26" t="str">
        <f>IF(C48="","",LOOKUP((-8+C48),$B$554:$H$555)&amp;" to "&amp;LOOKUP((8+C48),$B$554:$H$555))</f>
        <v>Low Average to Average</v>
      </c>
      <c r="I48" s="7"/>
      <c r="P48" s="7"/>
      <c r="Q48" s="213"/>
      <c r="R48" s="213"/>
      <c r="AD48" s="212"/>
      <c r="DD48" s="18"/>
    </row>
    <row r="49" spans="2:108" ht="11.25" customHeight="1">
      <c r="B49" s="27" t="s">
        <v>242</v>
      </c>
      <c r="C49" s="55">
        <v>82</v>
      </c>
      <c r="D49" s="55"/>
      <c r="E49" s="25" t="str">
        <f>IF(C49="","",LOOKUP(C49,conversion)&amp;" PR")</f>
        <v>12 PR</v>
      </c>
      <c r="F49" s="234" t="str">
        <f>IF(C49="","",-5+C49&amp;" to "&amp;C49+5)</f>
        <v>77 to 87</v>
      </c>
      <c r="G49" s="234"/>
      <c r="H49" s="26" t="str">
        <f>IF(C49="","",LOOKUP((-5+C49),$B$554:$H$555)&amp;" to "&amp;LOOKUP((5+C49),$B$554:$H$555))</f>
        <v>Low to Low Average</v>
      </c>
      <c r="I49" s="7"/>
      <c r="P49" s="7"/>
      <c r="Q49" s="213"/>
      <c r="R49" s="213"/>
      <c r="AD49" s="212"/>
      <c r="DD49" s="18"/>
    </row>
    <row r="50" spans="2:108" ht="11.25" customHeight="1">
      <c r="B50" s="27" t="s">
        <v>243</v>
      </c>
      <c r="C50" s="57">
        <v>94</v>
      </c>
      <c r="D50" s="57"/>
      <c r="E50" s="25" t="str">
        <f t="shared" si="3"/>
        <v>34 PR</v>
      </c>
      <c r="F50" s="234" t="str">
        <f>IF(C50="","",-6+C50&amp;" to "&amp;C50+6)</f>
        <v>88 to 100</v>
      </c>
      <c r="G50" s="234"/>
      <c r="H50" s="26" t="str">
        <f>IF(C50="","",LOOKUP((-6+C50),$B$554:$H$555)&amp;" to "&amp;LOOKUP((6+C50),$B$554:$H$555))</f>
        <v>Low Average to Average</v>
      </c>
      <c r="I50" s="7"/>
      <c r="P50" s="7"/>
      <c r="Q50" s="213"/>
      <c r="R50" s="213"/>
      <c r="AD50" s="212"/>
      <c r="DD50" s="18"/>
    </row>
    <row r="51" spans="2:108" ht="11.25" customHeight="1">
      <c r="B51" s="27" t="s">
        <v>651</v>
      </c>
      <c r="C51" s="57"/>
      <c r="D51" s="57"/>
      <c r="E51" s="25">
        <f aca="true" t="shared" si="4" ref="E51:E56">IF(C51="","",LOOKUP(C51,conversion)&amp;" PR")</f>
      </c>
      <c r="F51" s="234">
        <f aca="true" t="shared" si="5" ref="F51:F56">IF(C51="","",-6+C51&amp;" to "&amp;C51+6)</f>
      </c>
      <c r="G51" s="234"/>
      <c r="H51" s="26">
        <f aca="true" t="shared" si="6" ref="H51:H56">IF(C51="","",LOOKUP((-6+C51),$B$554:$H$555)&amp;" to "&amp;LOOKUP((6+C51),$B$554:$H$555))</f>
      </c>
      <c r="I51" s="7"/>
      <c r="P51" s="7"/>
      <c r="Q51" s="213"/>
      <c r="R51" s="213"/>
      <c r="AD51" s="212"/>
      <c r="DD51" s="18"/>
    </row>
    <row r="52" spans="2:108" ht="11.25" customHeight="1">
      <c r="B52" s="27" t="s">
        <v>652</v>
      </c>
      <c r="C52" s="57">
        <v>71</v>
      </c>
      <c r="D52" s="57"/>
      <c r="E52" s="25" t="str">
        <f t="shared" si="4"/>
        <v>3 PR</v>
      </c>
      <c r="F52" s="234" t="str">
        <f t="shared" si="5"/>
        <v>65 to 77</v>
      </c>
      <c r="G52" s="234"/>
      <c r="H52" s="26" t="str">
        <f t="shared" si="6"/>
        <v>Very Low to Low</v>
      </c>
      <c r="I52" s="7"/>
      <c r="P52" s="7"/>
      <c r="Q52" s="213"/>
      <c r="R52" s="213"/>
      <c r="AD52" s="212"/>
      <c r="DD52" s="18"/>
    </row>
    <row r="53" spans="2:108" ht="11.25" customHeight="1">
      <c r="B53" s="27" t="s">
        <v>653</v>
      </c>
      <c r="C53" s="57"/>
      <c r="D53" s="57"/>
      <c r="E53" s="25">
        <f t="shared" si="4"/>
      </c>
      <c r="F53" s="234">
        <f t="shared" si="5"/>
      </c>
      <c r="G53" s="234"/>
      <c r="H53" s="26">
        <f t="shared" si="6"/>
      </c>
      <c r="I53" s="7"/>
      <c r="P53" s="7"/>
      <c r="Q53" s="213"/>
      <c r="R53" s="213"/>
      <c r="AD53" s="212"/>
      <c r="DD53" s="18"/>
    </row>
    <row r="54" spans="2:108" ht="11.25" customHeight="1">
      <c r="B54" s="27" t="s">
        <v>654</v>
      </c>
      <c r="C54" s="57"/>
      <c r="D54" s="57"/>
      <c r="E54" s="25">
        <f t="shared" si="4"/>
      </c>
      <c r="F54" s="234">
        <f t="shared" si="5"/>
      </c>
      <c r="G54" s="234"/>
      <c r="H54" s="26">
        <f t="shared" si="6"/>
      </c>
      <c r="I54" s="7"/>
      <c r="P54" s="7"/>
      <c r="Q54" s="213"/>
      <c r="R54" s="213"/>
      <c r="AD54" s="212"/>
      <c r="DD54" s="18"/>
    </row>
    <row r="55" spans="2:108" ht="11.25" customHeight="1">
      <c r="B55" s="27" t="s">
        <v>655</v>
      </c>
      <c r="C55" s="57"/>
      <c r="D55" s="57"/>
      <c r="E55" s="25">
        <f t="shared" si="4"/>
      </c>
      <c r="F55" s="234">
        <f t="shared" si="5"/>
      </c>
      <c r="G55" s="234"/>
      <c r="H55" s="26">
        <f t="shared" si="6"/>
      </c>
      <c r="I55" s="7"/>
      <c r="P55" s="7"/>
      <c r="Q55" s="213"/>
      <c r="R55" s="213"/>
      <c r="AD55" s="212"/>
      <c r="DD55" s="18"/>
    </row>
    <row r="56" spans="2:108" ht="11.25" customHeight="1">
      <c r="B56" s="27" t="s">
        <v>656</v>
      </c>
      <c r="C56" s="57">
        <v>90</v>
      </c>
      <c r="D56" s="57"/>
      <c r="E56" s="25" t="str">
        <f t="shared" si="4"/>
        <v>25 PR</v>
      </c>
      <c r="F56" s="234" t="str">
        <f t="shared" si="5"/>
        <v>84 to 96</v>
      </c>
      <c r="G56" s="234"/>
      <c r="H56" s="26" t="str">
        <f t="shared" si="6"/>
        <v>Low Average to Average</v>
      </c>
      <c r="I56" s="7"/>
      <c r="P56" s="7"/>
      <c r="Q56" s="213"/>
      <c r="R56" s="213"/>
      <c r="AD56" s="212"/>
      <c r="DD56" s="18"/>
    </row>
    <row r="57" spans="2:108" ht="11.25" customHeight="1">
      <c r="B57" s="27" t="s">
        <v>244</v>
      </c>
      <c r="C57" s="57">
        <v>104</v>
      </c>
      <c r="D57" s="57"/>
      <c r="E57" s="25" t="str">
        <f t="shared" si="3"/>
        <v>61 PR</v>
      </c>
      <c r="F57" s="234" t="str">
        <f>IF(C57="","",-7+C57&amp;" to "&amp;C57+7)</f>
        <v>97 to 111</v>
      </c>
      <c r="G57" s="234"/>
      <c r="H57" s="26" t="str">
        <f>IF(C57="","",LOOKUP((-7+C57),$B$554:$H$555)&amp;" to "&amp;LOOKUP((7+C57),$B$554:$H$555))</f>
        <v>Average to High Average</v>
      </c>
      <c r="I57" s="7"/>
      <c r="P57" s="7"/>
      <c r="Q57" s="213"/>
      <c r="R57" s="213"/>
      <c r="AD57" s="212"/>
      <c r="DD57" s="18"/>
    </row>
    <row r="58" spans="3:108" ht="3.75" customHeight="1">
      <c r="C58"/>
      <c r="D58"/>
      <c r="E58" s="65"/>
      <c r="F58" s="65"/>
      <c r="G58" s="65"/>
      <c r="H58" s="65"/>
      <c r="I58" s="65"/>
      <c r="P58" s="7"/>
      <c r="Q58" s="213"/>
      <c r="R58" s="213"/>
      <c r="AD58" s="212"/>
      <c r="DD58" s="18"/>
    </row>
    <row r="59" spans="5:36" ht="3.75" customHeight="1">
      <c r="E59" s="7"/>
      <c r="F59" s="7"/>
      <c r="G59" s="7"/>
      <c r="H59" s="7"/>
      <c r="I59" s="7"/>
      <c r="P59" s="7"/>
      <c r="Q59" s="213"/>
      <c r="R59" s="213"/>
      <c r="AD59" s="212"/>
      <c r="AE59" s="228"/>
      <c r="AF59" s="228"/>
      <c r="AG59" s="228"/>
      <c r="AH59" s="228"/>
      <c r="AI59" s="228"/>
      <c r="AJ59" s="228"/>
    </row>
    <row r="60" spans="1:36" ht="17.25" customHeight="1">
      <c r="A60" s="242" t="s">
        <v>260</v>
      </c>
      <c r="D60" s="36" t="s">
        <v>150</v>
      </c>
      <c r="E60" s="66">
        <f>IF(C35="","",C35)</f>
        <v>115</v>
      </c>
      <c r="F60" s="25" t="str">
        <f>IF(E60="","",E35)</f>
        <v>84 PR</v>
      </c>
      <c r="G60" s="234" t="str">
        <f>IF(F60="","",F35)</f>
        <v>106 to 124</v>
      </c>
      <c r="H60" s="234"/>
      <c r="I60" s="26" t="str">
        <f>IF(E60="","",H35)</f>
        <v>Average to Superior</v>
      </c>
      <c r="P60"/>
      <c r="Q60" s="228"/>
      <c r="R60" s="213"/>
      <c r="AD60" s="212"/>
      <c r="AE60" s="228"/>
      <c r="AF60" s="228"/>
      <c r="AG60" s="228"/>
      <c r="AH60" s="228"/>
      <c r="AI60" s="228"/>
      <c r="AJ60" s="228"/>
    </row>
    <row r="61" spans="1:36" ht="5.25" customHeight="1">
      <c r="A61" s="242"/>
      <c r="E61" s="7"/>
      <c r="F61" s="65"/>
      <c r="G61" s="7"/>
      <c r="H61" s="7"/>
      <c r="I61" s="7"/>
      <c r="P61"/>
      <c r="Q61" s="228"/>
      <c r="R61" s="213"/>
      <c r="AD61" s="212"/>
      <c r="AE61" s="228"/>
      <c r="AF61" s="228"/>
      <c r="AG61" s="228"/>
      <c r="AH61" s="228"/>
      <c r="AI61" s="228"/>
      <c r="AJ61" s="228"/>
    </row>
    <row r="62" spans="1:36" ht="12.75">
      <c r="A62" s="242"/>
      <c r="D62" s="23" t="s">
        <v>245</v>
      </c>
      <c r="E62" s="13">
        <f>IF(B9="","",B9)</f>
        <v>115</v>
      </c>
      <c r="F62" s="25" t="str">
        <f>IF(E62="","",LOOKUP(E62,conversion)&amp;" PR")</f>
        <v>84 PR</v>
      </c>
      <c r="G62" s="234" t="str">
        <f>IF(E62="","",-11+E62&amp;" to "&amp;E62+11)</f>
        <v>104 to 126</v>
      </c>
      <c r="H62" s="234"/>
      <c r="I62" s="26" t="str">
        <f>IF(E62="","",LOOKUP((-11+E62),$B$554:$H$555)&amp;" to "&amp;LOOKUP((11+E62),$B$554:$H$555))</f>
        <v>Average to Superior</v>
      </c>
      <c r="J62" s="29"/>
      <c r="P62"/>
      <c r="Q62" s="228"/>
      <c r="R62" s="213"/>
      <c r="AD62" s="212"/>
      <c r="AE62" s="228"/>
      <c r="AF62" s="228"/>
      <c r="AG62" s="228"/>
      <c r="AH62" s="228"/>
      <c r="AI62" s="228"/>
      <c r="AJ62" s="228"/>
    </row>
    <row r="63" spans="1:36" ht="12.75">
      <c r="A63" s="242"/>
      <c r="D63" s="23" t="s">
        <v>278</v>
      </c>
      <c r="E63" s="13">
        <f>IF(B13="","",B13)</f>
        <v>113</v>
      </c>
      <c r="F63" s="25" t="str">
        <f>IF(E63="","",LOOKUP(E63,conversion)&amp;" PR")</f>
        <v>81 PR</v>
      </c>
      <c r="G63" s="234" t="str">
        <f>IF(E63="","",-12+E63&amp;" to "&amp;E63+12)</f>
        <v>101 to 125</v>
      </c>
      <c r="H63" s="234"/>
      <c r="I63" s="26" t="str">
        <f>IF(E63="","",LOOKUP((-12+E63),$B$554:$H$555)&amp;" to "&amp;LOOKUP((12+E63),$B$554:$H$555))</f>
        <v>Average to Superior</v>
      </c>
      <c r="J63" s="29"/>
      <c r="P63"/>
      <c r="Q63" s="228"/>
      <c r="R63" s="228"/>
      <c r="S63" s="228"/>
      <c r="T63" s="228"/>
      <c r="U63" s="228"/>
      <c r="AD63" s="212"/>
      <c r="AE63" s="228"/>
      <c r="AF63" s="228"/>
      <c r="AG63" s="228"/>
      <c r="AH63" s="228"/>
      <c r="AI63" s="228"/>
      <c r="AJ63" s="228"/>
    </row>
    <row r="64" spans="1:36" ht="5.25" customHeight="1">
      <c r="A64" s="242"/>
      <c r="E64" s="7"/>
      <c r="F64" s="7"/>
      <c r="G64" s="7"/>
      <c r="H64" s="7"/>
      <c r="I64" s="7"/>
      <c r="P64"/>
      <c r="Q64" s="228"/>
      <c r="R64" s="228"/>
      <c r="S64" s="228"/>
      <c r="T64" s="228"/>
      <c r="U64" s="228"/>
      <c r="AD64" s="212"/>
      <c r="AE64" s="228"/>
      <c r="AF64" s="228"/>
      <c r="AG64" s="228"/>
      <c r="AH64" s="228"/>
      <c r="AI64" s="228"/>
      <c r="AJ64" s="228"/>
    </row>
    <row r="65" spans="1:36" ht="5.25" customHeight="1">
      <c r="A65" s="242"/>
      <c r="B65" s="44"/>
      <c r="C65" s="44"/>
      <c r="D65" s="44"/>
      <c r="E65" s="67"/>
      <c r="F65" s="67"/>
      <c r="G65" s="67"/>
      <c r="H65" s="67"/>
      <c r="I65" s="67"/>
      <c r="J65" s="44"/>
      <c r="K65" s="44"/>
      <c r="P65"/>
      <c r="Q65" s="228"/>
      <c r="R65" s="228"/>
      <c r="S65" s="228"/>
      <c r="T65" s="228"/>
      <c r="U65" s="228"/>
      <c r="X65" s="229"/>
      <c r="AD65" s="212"/>
      <c r="AE65" s="228"/>
      <c r="AF65" s="228"/>
      <c r="AG65" s="228"/>
      <c r="AH65" s="228"/>
      <c r="AI65" s="228"/>
      <c r="AJ65" s="228"/>
    </row>
    <row r="66" spans="1:36" ht="5.25" customHeight="1">
      <c r="A66" s="242"/>
      <c r="B66" s="35"/>
      <c r="E66" s="7"/>
      <c r="F66" s="7"/>
      <c r="G66" s="7"/>
      <c r="H66" s="7"/>
      <c r="I66" s="7"/>
      <c r="P66"/>
      <c r="Q66" s="228"/>
      <c r="R66" s="228"/>
      <c r="S66" s="228"/>
      <c r="T66" s="228"/>
      <c r="U66" s="228"/>
      <c r="X66" s="229"/>
      <c r="AD66" s="212"/>
      <c r="AE66" s="228"/>
      <c r="AF66" s="228"/>
      <c r="AG66" s="228"/>
      <c r="AH66" s="228"/>
      <c r="AI66" s="228"/>
      <c r="AJ66" s="228"/>
    </row>
    <row r="67" spans="1:36" ht="12.75">
      <c r="A67" s="242"/>
      <c r="D67" s="36" t="s">
        <v>151</v>
      </c>
      <c r="E67" s="66">
        <f>IF(C43="","",C43)</f>
        <v>100</v>
      </c>
      <c r="F67" s="25" t="str">
        <f>IF(E67="","",E43)</f>
        <v>50 PR</v>
      </c>
      <c r="G67" s="234" t="str">
        <f>IF(F67="","",F43)</f>
        <v>90 to 110</v>
      </c>
      <c r="H67" s="234"/>
      <c r="I67" s="26" t="str">
        <f>IF(E67="","",H43)</f>
        <v>Average to High Average</v>
      </c>
      <c r="P67"/>
      <c r="Q67" s="228"/>
      <c r="R67" s="228"/>
      <c r="S67" s="228"/>
      <c r="T67" s="228"/>
      <c r="U67" s="228"/>
      <c r="X67" s="229"/>
      <c r="AD67" s="212"/>
      <c r="AE67" s="228"/>
      <c r="AF67" s="228"/>
      <c r="AG67" s="228"/>
      <c r="AH67" s="228"/>
      <c r="AI67" s="228"/>
      <c r="AJ67" s="228"/>
    </row>
    <row r="68" spans="1:36" ht="5.25" customHeight="1">
      <c r="A68" s="242"/>
      <c r="E68" s="37"/>
      <c r="F68" s="65"/>
      <c r="G68" s="7"/>
      <c r="H68" s="7"/>
      <c r="I68" s="7"/>
      <c r="P68"/>
      <c r="Q68" s="228"/>
      <c r="R68" s="228"/>
      <c r="S68" s="228"/>
      <c r="T68" s="228"/>
      <c r="U68" s="228"/>
      <c r="X68" s="229"/>
      <c r="AD68" s="212"/>
      <c r="AE68" s="228"/>
      <c r="AF68" s="228"/>
      <c r="AG68" s="228"/>
      <c r="AH68" s="228"/>
      <c r="AI68" s="228"/>
      <c r="AJ68" s="228"/>
    </row>
    <row r="69" spans="1:36" ht="12.75">
      <c r="A69" s="242"/>
      <c r="D69" s="14" t="s">
        <v>246</v>
      </c>
      <c r="E69" s="13">
        <f>IF(H9="","",H9)</f>
        <v>80</v>
      </c>
      <c r="F69" s="25" t="str">
        <f>IF(E69="","",LOOKUP(E69,conversion)&amp;" PR")</f>
        <v>9 PR</v>
      </c>
      <c r="G69" s="234" t="str">
        <f>IF(E69="","",-11+E69&amp;" to "&amp;E69+11)</f>
        <v>69 to 91</v>
      </c>
      <c r="H69" s="234"/>
      <c r="I69" s="26" t="str">
        <f>IF(E69="","",LOOKUP((-11+E69),$B$554:$H$555)&amp;" to "&amp;LOOKUP((11+E69),$B$554:$H$555))</f>
        <v>Very Low to Average</v>
      </c>
      <c r="J69" s="29"/>
      <c r="P69"/>
      <c r="Q69" s="228"/>
      <c r="R69" s="228"/>
      <c r="S69" s="228"/>
      <c r="T69" s="228"/>
      <c r="U69" s="228"/>
      <c r="X69" s="229"/>
      <c r="AD69" s="212"/>
      <c r="AE69" s="228"/>
      <c r="AF69" s="228"/>
      <c r="AG69" s="228"/>
      <c r="AH69" s="228"/>
      <c r="AI69" s="228"/>
      <c r="AJ69" s="228"/>
    </row>
    <row r="70" spans="1:36" ht="12.75">
      <c r="A70" s="242"/>
      <c r="D70" s="14" t="s">
        <v>236</v>
      </c>
      <c r="E70" s="13">
        <f>IF(H13="","",H13)</f>
        <v>120</v>
      </c>
      <c r="F70" s="25" t="str">
        <f>IF(E70="","",LOOKUP(E70,conversion)&amp;" PR")</f>
        <v>91 PR</v>
      </c>
      <c r="G70" s="234" t="str">
        <f>IF(E70="","",-14+E70&amp;" to "&amp;E70+14)</f>
        <v>106 to 134</v>
      </c>
      <c r="H70" s="234"/>
      <c r="I70" s="26" t="str">
        <f>IF(E70="","",LOOKUP((-14+E70),$B$554:$H$555)&amp;" to "&amp;LOOKUP((14+E70),$B$554:$H$555))</f>
        <v>Average to Very Superior</v>
      </c>
      <c r="J70" s="29"/>
      <c r="P70"/>
      <c r="Q70" s="228"/>
      <c r="R70" s="228"/>
      <c r="S70" s="228"/>
      <c r="T70" s="228"/>
      <c r="U70" s="228"/>
      <c r="X70" s="229"/>
      <c r="AB70" s="211"/>
      <c r="AE70" s="228"/>
      <c r="AF70" s="228"/>
      <c r="AG70" s="228"/>
      <c r="AH70" s="228"/>
      <c r="AI70" s="228"/>
      <c r="AJ70" s="228"/>
    </row>
    <row r="71" spans="1:28" ht="12.75">
      <c r="A71" s="242"/>
      <c r="D71" s="23" t="s">
        <v>263</v>
      </c>
      <c r="E71" s="13">
        <f>IF(J9="","",J9)</f>
        <v>115</v>
      </c>
      <c r="F71" s="25" t="str">
        <f>IF(E71="","",LOOKUP(E71,conversion)&amp;" PR")</f>
        <v>84 PR</v>
      </c>
      <c r="G71" s="234" t="str">
        <f>IF(E71="","",-9+E71&amp;" to "&amp;E71+9)</f>
        <v>106 to 124</v>
      </c>
      <c r="H71" s="234"/>
      <c r="I71" s="26" t="str">
        <f>IF(E71="","",LOOKUP((-9+E71),$B$554:$H$555)&amp;" to "&amp;LOOKUP((9+E71),$B$554:$H$555))</f>
        <v>Average to Superior</v>
      </c>
      <c r="J71" s="29"/>
      <c r="P71"/>
      <c r="Q71" s="228"/>
      <c r="R71" s="228"/>
      <c r="S71" s="228"/>
      <c r="T71" s="228"/>
      <c r="U71" s="228"/>
      <c r="X71" s="229"/>
      <c r="AB71" s="211"/>
    </row>
    <row r="72" spans="1:28" ht="5.25" customHeight="1">
      <c r="A72" s="242"/>
      <c r="E72" s="7"/>
      <c r="F72" s="7"/>
      <c r="G72" s="7"/>
      <c r="H72" s="7"/>
      <c r="I72" s="7"/>
      <c r="P72"/>
      <c r="Q72" s="228"/>
      <c r="R72" s="228"/>
      <c r="S72" s="228"/>
      <c r="T72" s="228"/>
      <c r="U72" s="228"/>
      <c r="X72" s="229"/>
      <c r="AB72" s="211"/>
    </row>
    <row r="73" spans="1:28" ht="5.25" customHeight="1">
      <c r="A73" s="242"/>
      <c r="B73" s="44"/>
      <c r="C73" s="44"/>
      <c r="D73" s="44"/>
      <c r="E73" s="67"/>
      <c r="F73" s="67"/>
      <c r="G73" s="67"/>
      <c r="H73" s="67"/>
      <c r="I73" s="67"/>
      <c r="J73" s="44"/>
      <c r="K73" s="44"/>
      <c r="P73"/>
      <c r="Q73" s="228"/>
      <c r="R73" s="228"/>
      <c r="S73" s="228"/>
      <c r="T73" s="228"/>
      <c r="U73" s="228"/>
      <c r="X73" s="229"/>
      <c r="AB73" s="211"/>
    </row>
    <row r="74" spans="1:28" ht="5.25" customHeight="1">
      <c r="A74" s="242"/>
      <c r="E74" s="7"/>
      <c r="F74" s="7"/>
      <c r="G74" s="7"/>
      <c r="H74" s="7"/>
      <c r="I74" s="7"/>
      <c r="P74"/>
      <c r="Q74" s="228"/>
      <c r="R74" s="228"/>
      <c r="S74" s="228"/>
      <c r="T74" s="228"/>
      <c r="U74" s="228"/>
      <c r="X74" s="229"/>
      <c r="AB74" s="211"/>
    </row>
    <row r="75" spans="1:28" ht="12.75">
      <c r="A75" s="242"/>
      <c r="D75" s="36" t="s">
        <v>152</v>
      </c>
      <c r="E75" s="66">
        <f>IF(C37="","",C37)</f>
        <v>94</v>
      </c>
      <c r="F75" s="25" t="str">
        <f>IF(E75="","",E37)</f>
        <v>34 PR</v>
      </c>
      <c r="G75" s="234" t="str">
        <f>IF(F75="","",F37)</f>
        <v>85 to 103</v>
      </c>
      <c r="H75" s="234"/>
      <c r="I75" s="26" t="str">
        <f>IF(E75="","",H37)</f>
        <v>Low Average to Average</v>
      </c>
      <c r="P75"/>
      <c r="Q75" s="228"/>
      <c r="R75" s="228"/>
      <c r="S75" s="228"/>
      <c r="T75" s="228"/>
      <c r="U75" s="228"/>
      <c r="X75" s="229"/>
      <c r="AB75" s="211"/>
    </row>
    <row r="76" spans="1:28" ht="5.25" customHeight="1">
      <c r="A76" s="242"/>
      <c r="E76" s="7"/>
      <c r="F76" s="65"/>
      <c r="G76" s="7"/>
      <c r="H76" s="7"/>
      <c r="I76" s="7"/>
      <c r="P76"/>
      <c r="Q76" s="228"/>
      <c r="R76" s="228"/>
      <c r="S76" s="228"/>
      <c r="T76" s="228"/>
      <c r="U76" s="228"/>
      <c r="X76" s="229"/>
      <c r="AB76" s="211"/>
    </row>
    <row r="77" spans="1:28" ht="12.75">
      <c r="A77" s="242"/>
      <c r="D77" s="23" t="s">
        <v>248</v>
      </c>
      <c r="E77" s="13">
        <f>IF(D9="","",D9)</f>
        <v>92</v>
      </c>
      <c r="F77" s="25" t="str">
        <f>IF(E77="","",LOOKUP(E77,conversion)&amp;" PR")</f>
        <v>30 PR</v>
      </c>
      <c r="G77" s="234" t="str">
        <f>IF(E77="","",-9+E77&amp;" to "&amp;E77+9)</f>
        <v>83 to 101</v>
      </c>
      <c r="H77" s="234"/>
      <c r="I77" s="26" t="str">
        <f>IF(E77="","",LOOKUP((-9+E77),$B$554:$H$555)&amp;" to "&amp;LOOKUP((9+E77),$B$554:$H$555))</f>
        <v>Low Average to Average</v>
      </c>
      <c r="J77" s="29"/>
      <c r="P77"/>
      <c r="Q77" s="228"/>
      <c r="R77" s="228"/>
      <c r="S77" s="228"/>
      <c r="T77" s="228"/>
      <c r="U77" s="228"/>
      <c r="X77" s="229"/>
      <c r="AB77" s="211"/>
    </row>
    <row r="78" spans="1:28" ht="12.75">
      <c r="A78" s="242"/>
      <c r="D78" s="23" t="s">
        <v>256</v>
      </c>
      <c r="E78" s="13">
        <f>IF(D13="","",D13)</f>
        <v>99</v>
      </c>
      <c r="F78" s="25" t="str">
        <f>IF(E78="","",LOOKUP(E78,conversion)&amp;" PR")</f>
        <v>47 PR</v>
      </c>
      <c r="G78" s="234" t="str">
        <f>IF(E78="","",-11+E78&amp;" to "&amp;E78+11)</f>
        <v>88 to 110</v>
      </c>
      <c r="H78" s="234"/>
      <c r="I78" s="26" t="str">
        <f>IF(E78="","",LOOKUP((-11+E78),$B$554:$H$555)&amp;" to "&amp;LOOKUP((11+E78),$B$554:$H$555))</f>
        <v>Low Average to High Average</v>
      </c>
      <c r="J78" s="29"/>
      <c r="P78"/>
      <c r="Q78" s="228"/>
      <c r="R78" s="228"/>
      <c r="S78" s="228"/>
      <c r="T78" s="228"/>
      <c r="U78" s="228"/>
      <c r="X78" s="229"/>
      <c r="AB78" s="211"/>
    </row>
    <row r="79" spans="1:28" ht="12.75">
      <c r="A79" s="242"/>
      <c r="D79" s="23" t="s">
        <v>657</v>
      </c>
      <c r="E79" s="13">
        <f>IF(C17="","",C17)</f>
      </c>
      <c r="F79" s="25">
        <f>IF(E79="","",LOOKUP(E79,conversion)&amp;" PR")</f>
      </c>
      <c r="G79" s="234">
        <f>IF(E79="","",-11+E79&amp;" to "&amp;E79+11)</f>
      </c>
      <c r="H79" s="234"/>
      <c r="I79" s="26">
        <f>IF(E79="","",LOOKUP((-11+E79),$B$554:$H$555)&amp;" to "&amp;LOOKUP((11+E79),$B$554:$H$555))</f>
      </c>
      <c r="J79" s="29"/>
      <c r="P79"/>
      <c r="Q79" s="228"/>
      <c r="R79" s="228"/>
      <c r="S79" s="228"/>
      <c r="T79" s="228"/>
      <c r="U79" s="228"/>
      <c r="X79" s="229"/>
      <c r="AB79" s="211"/>
    </row>
    <row r="80" spans="1:63" s="7" customFormat="1" ht="12.75">
      <c r="A80" s="242"/>
      <c r="B80" s="3"/>
      <c r="C80" s="3"/>
      <c r="D80" s="23" t="s">
        <v>249</v>
      </c>
      <c r="E80" s="13">
        <f>IF(J13="","",J13)</f>
        <v>111</v>
      </c>
      <c r="F80" s="25" t="str">
        <f>IF(E80="","",LOOKUP(E80,conversion)&amp;" PR")</f>
        <v>77 PR</v>
      </c>
      <c r="G80" s="234" t="str">
        <f>IF(E80="","",-25+E80&amp;" to "&amp;E80+25)</f>
        <v>86 to 136</v>
      </c>
      <c r="H80" s="234"/>
      <c r="I80" s="26" t="str">
        <f>IF(E80="","",LOOKUP((-25+E80),$B$554:$H$555)&amp;" to "&amp;LOOKUP((25+E80),$B$554:$H$555))</f>
        <v>Low Average to Very Superior</v>
      </c>
      <c r="J80" s="29"/>
      <c r="K80" s="3"/>
      <c r="L80" s="3"/>
      <c r="M80" s="3"/>
      <c r="N80" s="3"/>
      <c r="O80" s="3"/>
      <c r="P80"/>
      <c r="Q80" s="228"/>
      <c r="R80" s="228"/>
      <c r="S80" s="228"/>
      <c r="T80" s="228"/>
      <c r="U80" s="228"/>
      <c r="V80" s="213"/>
      <c r="W80" s="213"/>
      <c r="X80" s="229"/>
      <c r="Y80" s="213"/>
      <c r="Z80" s="213"/>
      <c r="AA80" s="211"/>
      <c r="AB80" s="211"/>
      <c r="AC80" s="211"/>
      <c r="AD80" s="211"/>
      <c r="AE80" s="211"/>
      <c r="AF80" s="211"/>
      <c r="AG80" s="211"/>
      <c r="AH80" s="211"/>
      <c r="AI80" s="211"/>
      <c r="AJ80" s="211"/>
      <c r="AK80" s="211"/>
      <c r="AL80" s="211"/>
      <c r="AM80" s="211"/>
      <c r="AN80" s="211"/>
      <c r="AO80" s="211"/>
      <c r="AP80" s="211"/>
      <c r="AQ80" s="211"/>
      <c r="AR80" s="211"/>
      <c r="AS80" s="213"/>
      <c r="AT80" s="213"/>
      <c r="AU80" s="213"/>
      <c r="AV80" s="213"/>
      <c r="AW80" s="213"/>
      <c r="AX80" s="213"/>
      <c r="AY80" s="213"/>
      <c r="AZ80" s="213"/>
      <c r="BA80" s="213"/>
      <c r="BB80" s="213"/>
      <c r="BC80" s="213"/>
      <c r="BD80" s="213"/>
      <c r="BE80" s="213"/>
      <c r="BF80" s="213"/>
      <c r="BG80" s="213"/>
      <c r="BH80" s="213"/>
      <c r="BI80" s="213"/>
      <c r="BJ80" s="213"/>
      <c r="BK80" s="213"/>
    </row>
    <row r="81" spans="1:63" s="7" customFormat="1" ht="5.25" customHeight="1">
      <c r="A81" s="242"/>
      <c r="B81" s="3"/>
      <c r="C81" s="3"/>
      <c r="D81" s="23"/>
      <c r="E81" s="13"/>
      <c r="F81" s="25"/>
      <c r="G81" s="25"/>
      <c r="H81" s="25"/>
      <c r="I81" s="26"/>
      <c r="J81" s="29"/>
      <c r="K81" s="3"/>
      <c r="L81" s="3"/>
      <c r="M81" s="3"/>
      <c r="N81" s="3"/>
      <c r="O81" s="3"/>
      <c r="P81"/>
      <c r="Q81" s="228"/>
      <c r="R81" s="228"/>
      <c r="S81" s="228"/>
      <c r="T81" s="228"/>
      <c r="U81" s="228"/>
      <c r="V81" s="213"/>
      <c r="W81" s="213"/>
      <c r="X81" s="229"/>
      <c r="Y81" s="213"/>
      <c r="Z81" s="213"/>
      <c r="AA81" s="211"/>
      <c r="AB81" s="211"/>
      <c r="AC81" s="211"/>
      <c r="AD81" s="211"/>
      <c r="AE81" s="211"/>
      <c r="AF81" s="211"/>
      <c r="AG81" s="211"/>
      <c r="AH81" s="211"/>
      <c r="AI81" s="211"/>
      <c r="AJ81" s="211"/>
      <c r="AK81" s="211"/>
      <c r="AL81" s="211"/>
      <c r="AM81" s="211"/>
      <c r="AN81" s="211"/>
      <c r="AO81" s="211"/>
      <c r="AP81" s="211"/>
      <c r="AQ81" s="211"/>
      <c r="AR81" s="211"/>
      <c r="AS81" s="213"/>
      <c r="AT81" s="213"/>
      <c r="AU81" s="213"/>
      <c r="AV81" s="213"/>
      <c r="AW81" s="213"/>
      <c r="AX81" s="213"/>
      <c r="AY81" s="213"/>
      <c r="AZ81" s="213"/>
      <c r="BA81" s="213"/>
      <c r="BB81" s="213"/>
      <c r="BC81" s="213"/>
      <c r="BD81" s="213"/>
      <c r="BE81" s="213"/>
      <c r="BF81" s="213"/>
      <c r="BG81" s="213"/>
      <c r="BH81" s="213"/>
      <c r="BI81" s="213"/>
      <c r="BJ81" s="213"/>
      <c r="BK81" s="213"/>
    </row>
    <row r="82" spans="1:63" s="7" customFormat="1" ht="5.25" customHeight="1">
      <c r="A82" s="242"/>
      <c r="B82" s="44"/>
      <c r="C82" s="44"/>
      <c r="D82" s="45"/>
      <c r="E82" s="68"/>
      <c r="F82" s="47"/>
      <c r="G82" s="47"/>
      <c r="H82" s="47"/>
      <c r="I82" s="48"/>
      <c r="J82" s="49"/>
      <c r="K82" s="44"/>
      <c r="L82" s="3"/>
      <c r="M82" s="3"/>
      <c r="N82" s="3"/>
      <c r="O82" s="3"/>
      <c r="P82"/>
      <c r="Q82" s="228"/>
      <c r="R82" s="228"/>
      <c r="S82" s="228"/>
      <c r="T82" s="228"/>
      <c r="U82" s="228"/>
      <c r="V82" s="213"/>
      <c r="W82" s="213"/>
      <c r="X82" s="229"/>
      <c r="Y82" s="213"/>
      <c r="Z82" s="213"/>
      <c r="AA82" s="211"/>
      <c r="AB82" s="211"/>
      <c r="AC82" s="211"/>
      <c r="AD82" s="211"/>
      <c r="AE82" s="211"/>
      <c r="AF82" s="211"/>
      <c r="AG82" s="211"/>
      <c r="AH82" s="211"/>
      <c r="AI82" s="211"/>
      <c r="AJ82" s="211"/>
      <c r="AK82" s="211"/>
      <c r="AL82" s="211"/>
      <c r="AM82" s="211"/>
      <c r="AN82" s="211"/>
      <c r="AO82" s="211"/>
      <c r="AP82" s="211"/>
      <c r="AQ82" s="211"/>
      <c r="AR82" s="211"/>
      <c r="AS82" s="213"/>
      <c r="AT82" s="213"/>
      <c r="AU82" s="213"/>
      <c r="AV82" s="213"/>
      <c r="AW82" s="213"/>
      <c r="AX82" s="213"/>
      <c r="AY82" s="213"/>
      <c r="AZ82" s="213"/>
      <c r="BA82" s="213"/>
      <c r="BB82" s="213"/>
      <c r="BC82" s="213"/>
      <c r="BD82" s="213"/>
      <c r="BE82" s="213"/>
      <c r="BF82" s="213"/>
      <c r="BG82" s="213"/>
      <c r="BH82" s="213"/>
      <c r="BI82" s="213"/>
      <c r="BJ82" s="213"/>
      <c r="BK82" s="213"/>
    </row>
    <row r="83" spans="1:63" s="7" customFormat="1" ht="5.25" customHeight="1">
      <c r="A83" s="242"/>
      <c r="B83" s="3"/>
      <c r="C83" s="3"/>
      <c r="D83" s="3"/>
      <c r="F83" s="65"/>
      <c r="J83" s="3"/>
      <c r="K83" s="3"/>
      <c r="L83" s="3"/>
      <c r="M83" s="3"/>
      <c r="N83" s="3"/>
      <c r="O83" s="3"/>
      <c r="P83"/>
      <c r="Q83" s="228"/>
      <c r="R83" s="228"/>
      <c r="S83" s="228"/>
      <c r="T83" s="228"/>
      <c r="U83" s="228"/>
      <c r="V83" s="213"/>
      <c r="W83" s="213"/>
      <c r="X83" s="229"/>
      <c r="Y83" s="213"/>
      <c r="Z83" s="213"/>
      <c r="AA83" s="211"/>
      <c r="AB83" s="211"/>
      <c r="AC83" s="211"/>
      <c r="AD83" s="211"/>
      <c r="AE83" s="211"/>
      <c r="AF83" s="211"/>
      <c r="AG83" s="211"/>
      <c r="AH83" s="211"/>
      <c r="AI83" s="211"/>
      <c r="AJ83" s="211"/>
      <c r="AK83" s="211"/>
      <c r="AL83" s="211"/>
      <c r="AM83" s="211"/>
      <c r="AN83" s="211"/>
      <c r="AO83" s="211"/>
      <c r="AP83" s="211"/>
      <c r="AQ83" s="211"/>
      <c r="AR83" s="211"/>
      <c r="AS83" s="213"/>
      <c r="AT83" s="213"/>
      <c r="AU83" s="213"/>
      <c r="AV83" s="213"/>
      <c r="AW83" s="213"/>
      <c r="AX83" s="213"/>
      <c r="AY83" s="213"/>
      <c r="AZ83" s="213"/>
      <c r="BA83" s="213"/>
      <c r="BB83" s="213"/>
      <c r="BC83" s="213"/>
      <c r="BD83" s="213"/>
      <c r="BE83" s="213"/>
      <c r="BF83" s="213"/>
      <c r="BG83" s="213"/>
      <c r="BH83" s="213"/>
      <c r="BI83" s="213"/>
      <c r="BJ83" s="213"/>
      <c r="BK83" s="213"/>
    </row>
    <row r="84" spans="1:63" s="7" customFormat="1" ht="12.75">
      <c r="A84" s="242"/>
      <c r="B84" s="3"/>
      <c r="C84" s="3"/>
      <c r="D84" s="36" t="s">
        <v>153</v>
      </c>
      <c r="E84" s="66">
        <f>IF(C39="","",C39)</f>
        <v>114</v>
      </c>
      <c r="F84" s="25" t="str">
        <f>IF(E84="","",E39)</f>
        <v>82 PR</v>
      </c>
      <c r="G84" s="234" t="str">
        <f>IF(F84="","",F39)</f>
        <v>103 to 125</v>
      </c>
      <c r="H84" s="234"/>
      <c r="I84" s="26" t="str">
        <f>IF(E84="","",H39)</f>
        <v>Average to Superior</v>
      </c>
      <c r="J84" s="3"/>
      <c r="K84" s="3"/>
      <c r="L84" s="3"/>
      <c r="M84" s="3"/>
      <c r="N84" s="3"/>
      <c r="O84" s="3"/>
      <c r="P84"/>
      <c r="Q84" s="228"/>
      <c r="R84" s="228"/>
      <c r="S84" s="228"/>
      <c r="T84" s="228"/>
      <c r="U84" s="228"/>
      <c r="V84" s="213"/>
      <c r="W84" s="213"/>
      <c r="X84" s="229"/>
      <c r="Y84" s="213"/>
      <c r="Z84" s="213"/>
      <c r="AA84" s="211"/>
      <c r="AB84" s="211"/>
      <c r="AC84" s="211"/>
      <c r="AD84" s="211"/>
      <c r="AE84" s="211"/>
      <c r="AF84" s="211"/>
      <c r="AG84" s="211"/>
      <c r="AH84" s="211"/>
      <c r="AI84" s="211"/>
      <c r="AJ84" s="211"/>
      <c r="AK84" s="211"/>
      <c r="AL84" s="211"/>
      <c r="AM84" s="211"/>
      <c r="AN84" s="211"/>
      <c r="AO84" s="211"/>
      <c r="AP84" s="211"/>
      <c r="AQ84" s="211"/>
      <c r="AR84" s="211"/>
      <c r="AS84" s="213"/>
      <c r="AT84" s="213"/>
      <c r="AU84" s="213"/>
      <c r="AV84" s="213"/>
      <c r="AW84" s="213"/>
      <c r="AX84" s="213"/>
      <c r="AY84" s="213"/>
      <c r="AZ84" s="213"/>
      <c r="BA84" s="213"/>
      <c r="BB84" s="213"/>
      <c r="BC84" s="213"/>
      <c r="BD84" s="213"/>
      <c r="BE84" s="213"/>
      <c r="BF84" s="213"/>
      <c r="BG84" s="213"/>
      <c r="BH84" s="213"/>
      <c r="BI84" s="213"/>
      <c r="BJ84" s="213"/>
      <c r="BK84" s="213"/>
    </row>
    <row r="85" spans="1:63" s="7" customFormat="1" ht="5.25" customHeight="1">
      <c r="A85" s="242"/>
      <c r="B85" s="3"/>
      <c r="C85" s="3"/>
      <c r="D85" s="3"/>
      <c r="F85" s="65"/>
      <c r="J85" s="3"/>
      <c r="K85" s="3"/>
      <c r="L85" s="3"/>
      <c r="M85" s="3"/>
      <c r="N85" s="3"/>
      <c r="O85" s="3"/>
      <c r="P85"/>
      <c r="Q85" s="228"/>
      <c r="R85" s="228"/>
      <c r="S85" s="228"/>
      <c r="T85" s="228"/>
      <c r="U85" s="228"/>
      <c r="V85" s="213"/>
      <c r="W85" s="213"/>
      <c r="X85" s="229"/>
      <c r="Y85" s="213"/>
      <c r="Z85" s="213"/>
      <c r="AA85" s="211"/>
      <c r="AB85" s="211"/>
      <c r="AC85" s="211"/>
      <c r="AD85" s="211"/>
      <c r="AE85" s="211"/>
      <c r="AF85" s="211"/>
      <c r="AG85" s="211"/>
      <c r="AH85" s="211"/>
      <c r="AI85" s="211"/>
      <c r="AJ85" s="211"/>
      <c r="AK85" s="211"/>
      <c r="AL85" s="211"/>
      <c r="AM85" s="211"/>
      <c r="AN85" s="211"/>
      <c r="AO85" s="211"/>
      <c r="AP85" s="211"/>
      <c r="AQ85" s="211"/>
      <c r="AR85" s="211"/>
      <c r="AS85" s="213"/>
      <c r="AT85" s="213"/>
      <c r="AU85" s="213"/>
      <c r="AV85" s="213"/>
      <c r="AW85" s="213"/>
      <c r="AX85" s="213"/>
      <c r="AY85" s="213"/>
      <c r="AZ85" s="213"/>
      <c r="BA85" s="213"/>
      <c r="BB85" s="213"/>
      <c r="BC85" s="213"/>
      <c r="BD85" s="213"/>
      <c r="BE85" s="213"/>
      <c r="BF85" s="213"/>
      <c r="BG85" s="213"/>
      <c r="BH85" s="213"/>
      <c r="BI85" s="213"/>
      <c r="BJ85" s="213"/>
      <c r="BK85" s="213"/>
    </row>
    <row r="86" spans="1:63" s="7" customFormat="1" ht="12.75">
      <c r="A86" s="242"/>
      <c r="C86" s="3"/>
      <c r="D86" s="23" t="s">
        <v>250</v>
      </c>
      <c r="E86" s="13">
        <f>IF(E9="","",E9)</f>
        <v>122</v>
      </c>
      <c r="F86" s="25" t="str">
        <f>IF(E86="","",LOOKUP(E86,conversion)&amp;" PR")</f>
        <v>93 PR</v>
      </c>
      <c r="G86" s="234" t="str">
        <f>IF(E86="","",-12+E86&amp;" to "&amp;E86+12)</f>
        <v>110 to 134</v>
      </c>
      <c r="H86" s="234"/>
      <c r="I86" s="26" t="str">
        <f>IF(E86="","",LOOKUP((-12+E86),$B$554:$H$555)&amp;" to "&amp;LOOKUP((12+E86),$B$554:$H$555))</f>
        <v>High Average to Very Superior</v>
      </c>
      <c r="J86" s="29"/>
      <c r="K86" s="3"/>
      <c r="L86" s="3"/>
      <c r="M86" s="3"/>
      <c r="N86" s="3"/>
      <c r="O86" s="3"/>
      <c r="P86"/>
      <c r="Q86" s="228"/>
      <c r="R86" s="228"/>
      <c r="S86" s="228"/>
      <c r="T86" s="228"/>
      <c r="U86" s="228"/>
      <c r="V86" s="213"/>
      <c r="W86" s="213"/>
      <c r="X86" s="229"/>
      <c r="Y86" s="213"/>
      <c r="Z86" s="213"/>
      <c r="AA86" s="211"/>
      <c r="AB86" s="211"/>
      <c r="AC86" s="211"/>
      <c r="AD86" s="211"/>
      <c r="AE86" s="211"/>
      <c r="AF86" s="211"/>
      <c r="AG86" s="211"/>
      <c r="AH86" s="211"/>
      <c r="AI86" s="211"/>
      <c r="AJ86" s="211"/>
      <c r="AK86" s="211"/>
      <c r="AL86" s="211"/>
      <c r="AM86" s="211"/>
      <c r="AN86" s="211"/>
      <c r="AO86" s="211"/>
      <c r="AP86" s="211"/>
      <c r="AQ86" s="211"/>
      <c r="AR86" s="211"/>
      <c r="AS86" s="213"/>
      <c r="AT86" s="213"/>
      <c r="AU86" s="213"/>
      <c r="AV86" s="213"/>
      <c r="AW86" s="213"/>
      <c r="AX86" s="213"/>
      <c r="AY86" s="213"/>
      <c r="AZ86" s="213"/>
      <c r="BA86" s="213"/>
      <c r="BB86" s="213"/>
      <c r="BC86" s="213"/>
      <c r="BD86" s="213"/>
      <c r="BE86" s="213"/>
      <c r="BF86" s="213"/>
      <c r="BG86" s="213"/>
      <c r="BH86" s="213"/>
      <c r="BI86" s="213"/>
      <c r="BJ86" s="213"/>
      <c r="BK86" s="213"/>
    </row>
    <row r="87" spans="1:63" s="7" customFormat="1" ht="12.75">
      <c r="A87" s="242"/>
      <c r="C87" s="3"/>
      <c r="D87" s="23" t="s">
        <v>265</v>
      </c>
      <c r="E87" s="13">
        <f>IF(E13="","",E13)</f>
        <v>101</v>
      </c>
      <c r="F87" s="25" t="str">
        <f>IF(E87="","",LOOKUP(E87,conversion)&amp;" PR")</f>
        <v>53 PR</v>
      </c>
      <c r="G87" s="234" t="str">
        <f>IF(E87="","",-12+E87&amp;" to "&amp;E87+12)</f>
        <v>89 to 113</v>
      </c>
      <c r="H87" s="234"/>
      <c r="I87" s="26" t="str">
        <f>IF(E87="","",LOOKUP((-12+E87),$B$554:$H$555)&amp;" to "&amp;LOOKUP((12+E87),$B$554:$H$555))</f>
        <v>Low Average to High Average</v>
      </c>
      <c r="J87" s="29"/>
      <c r="K87" s="3"/>
      <c r="L87" s="3"/>
      <c r="M87" s="3"/>
      <c r="N87" s="3"/>
      <c r="P87"/>
      <c r="Q87" s="228"/>
      <c r="R87" s="228"/>
      <c r="S87" s="228"/>
      <c r="T87" s="228"/>
      <c r="U87" s="228"/>
      <c r="V87" s="213"/>
      <c r="W87" s="213"/>
      <c r="X87" s="229"/>
      <c r="Y87" s="213"/>
      <c r="Z87" s="213"/>
      <c r="AA87" s="211"/>
      <c r="AB87" s="211"/>
      <c r="AC87" s="211"/>
      <c r="AD87" s="211"/>
      <c r="AE87" s="211"/>
      <c r="AF87" s="211"/>
      <c r="AG87" s="211"/>
      <c r="AH87" s="211"/>
      <c r="AI87" s="211"/>
      <c r="AJ87" s="211"/>
      <c r="AK87" s="211"/>
      <c r="AL87" s="211"/>
      <c r="AM87" s="211"/>
      <c r="AN87" s="211"/>
      <c r="AO87" s="211"/>
      <c r="AP87" s="211"/>
      <c r="AQ87" s="211"/>
      <c r="AR87" s="211"/>
      <c r="AS87" s="213"/>
      <c r="AT87" s="213"/>
      <c r="AU87" s="213"/>
      <c r="AV87" s="213"/>
      <c r="AW87" s="213"/>
      <c r="AX87" s="213"/>
      <c r="AY87" s="213"/>
      <c r="AZ87" s="213"/>
      <c r="BA87" s="213"/>
      <c r="BB87" s="213"/>
      <c r="BC87" s="213"/>
      <c r="BD87" s="213"/>
      <c r="BE87" s="213"/>
      <c r="BF87" s="213"/>
      <c r="BG87" s="213"/>
      <c r="BH87" s="213"/>
      <c r="BI87" s="213"/>
      <c r="BJ87" s="213"/>
      <c r="BK87" s="213"/>
    </row>
    <row r="88" spans="1:63" s="7" customFormat="1" ht="12.75">
      <c r="A88" s="242"/>
      <c r="B88" s="3"/>
      <c r="C88" s="3"/>
      <c r="D88" s="23" t="s">
        <v>251</v>
      </c>
      <c r="E88" s="13">
        <f>IF(I9="","",I9)</f>
        <v>115</v>
      </c>
      <c r="F88" s="25" t="str">
        <f>IF(E88="","",LOOKUP(E88,conversion)&amp;" PR")</f>
        <v>84 PR</v>
      </c>
      <c r="G88" s="234" t="str">
        <f>IF(E88="","",-14+E88&amp;" to "&amp;E88+14)</f>
        <v>101 to 129</v>
      </c>
      <c r="H88" s="234"/>
      <c r="I88" s="26" t="str">
        <f>IF(E88="","",LOOKUP((-14+E88),$B$554:$H$555)&amp;" to "&amp;LOOKUP((14+E88),$B$554:$H$555))</f>
        <v>Average to Superior</v>
      </c>
      <c r="J88" s="29"/>
      <c r="K88" s="3"/>
      <c r="L88" s="3"/>
      <c r="M88" s="3"/>
      <c r="N88" s="3"/>
      <c r="P88"/>
      <c r="Q88" s="228"/>
      <c r="R88" s="228"/>
      <c r="S88" s="228"/>
      <c r="T88" s="228"/>
      <c r="U88" s="228"/>
      <c r="V88" s="213"/>
      <c r="W88" s="213"/>
      <c r="X88" s="229"/>
      <c r="Y88" s="213"/>
      <c r="Z88" s="213"/>
      <c r="AA88" s="211"/>
      <c r="AB88" s="211"/>
      <c r="AC88" s="211"/>
      <c r="AD88" s="211"/>
      <c r="AE88" s="211"/>
      <c r="AF88" s="211"/>
      <c r="AG88" s="211"/>
      <c r="AH88" s="211"/>
      <c r="AI88" s="211"/>
      <c r="AJ88" s="211"/>
      <c r="AK88" s="211"/>
      <c r="AL88" s="211"/>
      <c r="AM88" s="211"/>
      <c r="AN88" s="211"/>
      <c r="AO88" s="211"/>
      <c r="AP88" s="211"/>
      <c r="AQ88" s="211"/>
      <c r="AR88" s="211"/>
      <c r="AS88" s="213"/>
      <c r="AT88" s="213"/>
      <c r="AU88" s="213"/>
      <c r="AV88" s="213"/>
      <c r="AW88" s="213"/>
      <c r="AX88" s="213"/>
      <c r="AY88" s="213"/>
      <c r="AZ88" s="213"/>
      <c r="BA88" s="213"/>
      <c r="BB88" s="213"/>
      <c r="BC88" s="213"/>
      <c r="BD88" s="213"/>
      <c r="BE88" s="213"/>
      <c r="BF88" s="213"/>
      <c r="BG88" s="213"/>
      <c r="BH88" s="213"/>
      <c r="BI88" s="213"/>
      <c r="BJ88" s="213"/>
      <c r="BK88" s="213"/>
    </row>
    <row r="89" spans="1:63" s="7" customFormat="1" ht="5.25" customHeight="1">
      <c r="A89" s="242"/>
      <c r="B89" s="3"/>
      <c r="C89" s="3"/>
      <c r="D89" s="23"/>
      <c r="E89" s="13"/>
      <c r="F89" s="25"/>
      <c r="G89" s="25"/>
      <c r="H89" s="25"/>
      <c r="I89" s="26"/>
      <c r="J89" s="29"/>
      <c r="K89" s="3"/>
      <c r="L89" s="3"/>
      <c r="M89" s="3"/>
      <c r="N89" s="3"/>
      <c r="P89"/>
      <c r="Q89" s="228"/>
      <c r="R89" s="228"/>
      <c r="S89" s="228"/>
      <c r="T89" s="228"/>
      <c r="U89" s="228"/>
      <c r="V89" s="213"/>
      <c r="W89" s="213"/>
      <c r="X89" s="229"/>
      <c r="Y89" s="213"/>
      <c r="Z89" s="213"/>
      <c r="AA89" s="211"/>
      <c r="AB89" s="211"/>
      <c r="AC89" s="211"/>
      <c r="AD89" s="211"/>
      <c r="AE89" s="211"/>
      <c r="AF89" s="211"/>
      <c r="AG89" s="211"/>
      <c r="AH89" s="211"/>
      <c r="AI89" s="211"/>
      <c r="AJ89" s="211"/>
      <c r="AK89" s="211"/>
      <c r="AL89" s="211"/>
      <c r="AM89" s="211"/>
      <c r="AN89" s="211"/>
      <c r="AO89" s="211"/>
      <c r="AP89" s="211"/>
      <c r="AQ89" s="211"/>
      <c r="AR89" s="211"/>
      <c r="AS89" s="213"/>
      <c r="AT89" s="213"/>
      <c r="AU89" s="213"/>
      <c r="AV89" s="213"/>
      <c r="AW89" s="213"/>
      <c r="AX89" s="213"/>
      <c r="AY89" s="213"/>
      <c r="AZ89" s="213"/>
      <c r="BA89" s="213"/>
      <c r="BB89" s="213"/>
      <c r="BC89" s="213"/>
      <c r="BD89" s="213"/>
      <c r="BE89" s="213"/>
      <c r="BF89" s="213"/>
      <c r="BG89" s="213"/>
      <c r="BH89" s="213"/>
      <c r="BI89" s="213"/>
      <c r="BJ89" s="213"/>
      <c r="BK89" s="213"/>
    </row>
    <row r="90" spans="1:63" s="7" customFormat="1" ht="5.25" customHeight="1">
      <c r="A90" s="242"/>
      <c r="B90" s="44"/>
      <c r="C90" s="44"/>
      <c r="D90" s="45"/>
      <c r="E90" s="68"/>
      <c r="F90" s="47"/>
      <c r="G90" s="47"/>
      <c r="H90" s="47"/>
      <c r="I90" s="48"/>
      <c r="J90" s="49"/>
      <c r="K90" s="44"/>
      <c r="L90" s="3"/>
      <c r="M90" s="3"/>
      <c r="N90" s="3"/>
      <c r="P90"/>
      <c r="Q90" s="228"/>
      <c r="R90" s="228"/>
      <c r="S90" s="228"/>
      <c r="T90" s="228"/>
      <c r="U90" s="228"/>
      <c r="V90" s="213"/>
      <c r="W90" s="213"/>
      <c r="X90" s="229"/>
      <c r="Y90" s="213"/>
      <c r="Z90" s="213"/>
      <c r="AA90" s="211"/>
      <c r="AB90" s="211"/>
      <c r="AC90" s="211"/>
      <c r="AD90" s="211"/>
      <c r="AE90" s="211"/>
      <c r="AF90" s="211"/>
      <c r="AG90" s="211"/>
      <c r="AH90" s="211"/>
      <c r="AI90" s="211"/>
      <c r="AJ90" s="211"/>
      <c r="AK90" s="211"/>
      <c r="AL90" s="211"/>
      <c r="AM90" s="211"/>
      <c r="AN90" s="211"/>
      <c r="AO90" s="211"/>
      <c r="AP90" s="211"/>
      <c r="AQ90" s="211"/>
      <c r="AR90" s="211"/>
      <c r="AS90" s="213"/>
      <c r="AT90" s="213"/>
      <c r="AU90" s="213"/>
      <c r="AV90" s="213"/>
      <c r="AW90" s="213"/>
      <c r="AX90" s="213"/>
      <c r="AY90" s="213"/>
      <c r="AZ90" s="213"/>
      <c r="BA90" s="213"/>
      <c r="BB90" s="213"/>
      <c r="BC90" s="213"/>
      <c r="BD90" s="213"/>
      <c r="BE90" s="213"/>
      <c r="BF90" s="213"/>
      <c r="BG90" s="213"/>
      <c r="BH90" s="213"/>
      <c r="BI90" s="213"/>
      <c r="BJ90" s="213"/>
      <c r="BK90" s="213"/>
    </row>
    <row r="91" spans="1:63" s="7" customFormat="1" ht="5.25" customHeight="1">
      <c r="A91" s="242"/>
      <c r="B91" s="3"/>
      <c r="C91" s="3"/>
      <c r="D91" s="3"/>
      <c r="F91" s="65"/>
      <c r="J91" s="3"/>
      <c r="K91" s="3"/>
      <c r="L91" s="3"/>
      <c r="M91" s="3"/>
      <c r="N91" s="3" t="s">
        <v>154</v>
      </c>
      <c r="P91"/>
      <c r="Q91" s="228"/>
      <c r="R91" s="228"/>
      <c r="S91" s="228"/>
      <c r="T91" s="228"/>
      <c r="U91" s="228"/>
      <c r="V91" s="213"/>
      <c r="W91" s="213"/>
      <c r="X91" s="229"/>
      <c r="Y91" s="213"/>
      <c r="Z91" s="213"/>
      <c r="AA91" s="211"/>
      <c r="AB91" s="211"/>
      <c r="AC91" s="211"/>
      <c r="AD91" s="211"/>
      <c r="AE91" s="211"/>
      <c r="AF91" s="211"/>
      <c r="AG91" s="211"/>
      <c r="AH91" s="211"/>
      <c r="AI91" s="211"/>
      <c r="AJ91" s="211"/>
      <c r="AK91" s="211"/>
      <c r="AL91" s="211"/>
      <c r="AM91" s="211"/>
      <c r="AN91" s="211"/>
      <c r="AO91" s="211"/>
      <c r="AP91" s="211"/>
      <c r="AQ91" s="211"/>
      <c r="AR91" s="211"/>
      <c r="AS91" s="213"/>
      <c r="AT91" s="213"/>
      <c r="AU91" s="213"/>
      <c r="AV91" s="213"/>
      <c r="AW91" s="213"/>
      <c r="AX91" s="213"/>
      <c r="AY91" s="213"/>
      <c r="AZ91" s="213"/>
      <c r="BA91" s="213"/>
      <c r="BB91" s="213"/>
      <c r="BC91" s="213"/>
      <c r="BD91" s="213"/>
      <c r="BE91" s="213"/>
      <c r="BF91" s="213"/>
      <c r="BG91" s="213"/>
      <c r="BH91" s="213"/>
      <c r="BI91" s="213"/>
      <c r="BJ91" s="213"/>
      <c r="BK91" s="213"/>
    </row>
    <row r="92" spans="1:63" s="7" customFormat="1" ht="12.75">
      <c r="A92" s="242"/>
      <c r="B92" s="3"/>
      <c r="C92" s="3"/>
      <c r="D92" s="38" t="s">
        <v>235</v>
      </c>
      <c r="E92" s="66">
        <f>IF(C36="","",C36)</f>
        <v>83</v>
      </c>
      <c r="F92" s="25" t="str">
        <f>IF(E92="","",E36)</f>
        <v>13 PR</v>
      </c>
      <c r="G92" s="234" t="str">
        <f>IF(F92="","",F36)</f>
        <v>74 to 92</v>
      </c>
      <c r="H92" s="234"/>
      <c r="I92" s="26" t="str">
        <f>IF(E92="","",H36)</f>
        <v>Low to Average</v>
      </c>
      <c r="J92" s="3"/>
      <c r="K92" s="3"/>
      <c r="L92" s="3"/>
      <c r="M92" s="3"/>
      <c r="N92" s="3"/>
      <c r="P92"/>
      <c r="Q92" s="228"/>
      <c r="R92" s="228"/>
      <c r="S92" s="228"/>
      <c r="T92" s="228"/>
      <c r="U92" s="228"/>
      <c r="V92" s="213"/>
      <c r="W92" s="213"/>
      <c r="X92" s="229"/>
      <c r="Y92" s="213"/>
      <c r="Z92" s="213"/>
      <c r="AA92" s="211"/>
      <c r="AB92" s="211"/>
      <c r="AC92" s="211"/>
      <c r="AD92" s="211"/>
      <c r="AE92" s="211"/>
      <c r="AF92" s="211"/>
      <c r="AG92" s="211"/>
      <c r="AH92" s="211"/>
      <c r="AI92" s="211"/>
      <c r="AJ92" s="211"/>
      <c r="AK92" s="211"/>
      <c r="AL92" s="211"/>
      <c r="AM92" s="211"/>
      <c r="AN92" s="211"/>
      <c r="AO92" s="211"/>
      <c r="AP92" s="211"/>
      <c r="AQ92" s="211"/>
      <c r="AR92" s="211"/>
      <c r="AS92" s="213"/>
      <c r="AT92" s="213"/>
      <c r="AU92" s="213"/>
      <c r="AV92" s="213"/>
      <c r="AW92" s="213"/>
      <c r="AX92" s="213"/>
      <c r="AY92" s="213"/>
      <c r="AZ92" s="213"/>
      <c r="BA92" s="213"/>
      <c r="BB92" s="213"/>
      <c r="BC92" s="213"/>
      <c r="BD92" s="213"/>
      <c r="BE92" s="213"/>
      <c r="BF92" s="213"/>
      <c r="BG92" s="213"/>
      <c r="BH92" s="213"/>
      <c r="BI92" s="213"/>
      <c r="BJ92" s="213"/>
      <c r="BK92" s="213"/>
    </row>
    <row r="93" spans="1:63" s="7" customFormat="1" ht="5.25" customHeight="1">
      <c r="A93" s="242"/>
      <c r="B93" s="3"/>
      <c r="C93" s="3"/>
      <c r="D93" s="3"/>
      <c r="E93" s="39"/>
      <c r="F93" s="65"/>
      <c r="J93" s="3"/>
      <c r="K93" s="3"/>
      <c r="L93" s="3"/>
      <c r="M93" s="3"/>
      <c r="N93" s="3"/>
      <c r="P93"/>
      <c r="Q93" s="228"/>
      <c r="R93" s="228"/>
      <c r="S93" s="228"/>
      <c r="T93" s="228"/>
      <c r="U93" s="228"/>
      <c r="V93" s="213"/>
      <c r="W93" s="213"/>
      <c r="X93" s="229"/>
      <c r="Y93" s="213"/>
      <c r="Z93" s="213"/>
      <c r="AA93" s="211"/>
      <c r="AB93" s="211"/>
      <c r="AC93" s="211"/>
      <c r="AD93" s="211"/>
      <c r="AE93" s="211"/>
      <c r="AF93" s="211"/>
      <c r="AG93" s="211"/>
      <c r="AH93" s="211"/>
      <c r="AI93" s="211"/>
      <c r="AJ93" s="211"/>
      <c r="AK93" s="211"/>
      <c r="AL93" s="211"/>
      <c r="AM93" s="211"/>
      <c r="AN93" s="211"/>
      <c r="AO93" s="211"/>
      <c r="AP93" s="211"/>
      <c r="AQ93" s="211"/>
      <c r="AR93" s="211"/>
      <c r="AS93" s="213"/>
      <c r="AT93" s="213"/>
      <c r="AU93" s="213"/>
      <c r="AV93" s="213"/>
      <c r="AW93" s="213"/>
      <c r="AX93" s="213"/>
      <c r="AY93" s="213"/>
      <c r="AZ93" s="213"/>
      <c r="BA93" s="213"/>
      <c r="BB93" s="213"/>
      <c r="BC93" s="213"/>
      <c r="BD93" s="213"/>
      <c r="BE93" s="213"/>
      <c r="BF93" s="213"/>
      <c r="BG93" s="213"/>
      <c r="BH93" s="213"/>
      <c r="BI93" s="213"/>
      <c r="BJ93" s="213"/>
      <c r="BK93" s="213"/>
    </row>
    <row r="94" spans="1:63" s="7" customFormat="1" ht="12.75">
      <c r="A94" s="242"/>
      <c r="B94" s="3"/>
      <c r="C94" s="3"/>
      <c r="D94" s="14" t="s">
        <v>252</v>
      </c>
      <c r="E94" s="13">
        <f>IF(C9="","",C9)</f>
        <v>74</v>
      </c>
      <c r="F94" s="25" t="str">
        <f>IF(E94="","",LOOKUP(E94,conversion)&amp;" PR")</f>
        <v>4 PR</v>
      </c>
      <c r="G94" s="234" t="str">
        <f>IF(E94="","",-11+E94&amp;" to "&amp;E94+11)</f>
        <v>63 to 85</v>
      </c>
      <c r="H94" s="234"/>
      <c r="I94" s="26" t="str">
        <f>IF(E94="","",LOOKUP((-11+E94),$B$554:$H$555)&amp;" to "&amp;LOOKUP((11+E94),$B$554:$H$555))</f>
        <v>Very Low to Low Average</v>
      </c>
      <c r="J94" s="3"/>
      <c r="K94" s="3"/>
      <c r="L94" s="3"/>
      <c r="M94" s="3"/>
      <c r="N94" s="3"/>
      <c r="P94"/>
      <c r="Q94" s="228"/>
      <c r="R94" s="228"/>
      <c r="S94" s="228"/>
      <c r="T94" s="228"/>
      <c r="U94" s="228"/>
      <c r="V94" s="213"/>
      <c r="W94" s="213"/>
      <c r="X94" s="229"/>
      <c r="Y94" s="213"/>
      <c r="Z94" s="213"/>
      <c r="AA94" s="211"/>
      <c r="AB94" s="211"/>
      <c r="AC94" s="211"/>
      <c r="AD94" s="211"/>
      <c r="AE94" s="211"/>
      <c r="AF94" s="211"/>
      <c r="AG94" s="211"/>
      <c r="AH94" s="211"/>
      <c r="AI94" s="211"/>
      <c r="AJ94" s="211"/>
      <c r="AK94" s="211"/>
      <c r="AL94" s="211"/>
      <c r="AM94" s="211"/>
      <c r="AN94" s="211"/>
      <c r="AO94" s="211"/>
      <c r="AP94" s="211"/>
      <c r="AQ94" s="211"/>
      <c r="AR94" s="211"/>
      <c r="AS94" s="213"/>
      <c r="AT94" s="213"/>
      <c r="AU94" s="213"/>
      <c r="AV94" s="213"/>
      <c r="AW94" s="213"/>
      <c r="AX94" s="213"/>
      <c r="AY94" s="213"/>
      <c r="AZ94" s="213"/>
      <c r="BA94" s="213"/>
      <c r="BB94" s="213"/>
      <c r="BC94" s="213"/>
      <c r="BD94" s="213"/>
      <c r="BE94" s="213"/>
      <c r="BF94" s="213"/>
      <c r="BG94" s="213"/>
      <c r="BH94" s="213"/>
      <c r="BI94" s="213"/>
      <c r="BJ94" s="213"/>
      <c r="BK94" s="213"/>
    </row>
    <row r="95" spans="1:63" s="7" customFormat="1" ht="12.75">
      <c r="A95" s="242"/>
      <c r="B95" s="3"/>
      <c r="C95" s="3"/>
      <c r="D95" s="19" t="s">
        <v>253</v>
      </c>
      <c r="E95" s="13">
        <f>IF(C13="","",C13)</f>
        <v>117</v>
      </c>
      <c r="F95" s="25" t="str">
        <f>IF(E95="","",LOOKUP(E95,conversion)&amp;" PR")</f>
        <v>87 PR</v>
      </c>
      <c r="G95" s="234" t="str">
        <f>IF(E95="","",-12+E95&amp;" to "&amp;E95+12)</f>
        <v>105 to 129</v>
      </c>
      <c r="H95" s="234"/>
      <c r="I95" s="26" t="str">
        <f>IF(E95="","",LOOKUP((-12+E95),$B$554:$H$555)&amp;" to "&amp;LOOKUP((12+E95),$B$554:$H$555))</f>
        <v>Average to Superior</v>
      </c>
      <c r="J95" s="3"/>
      <c r="K95" s="3"/>
      <c r="L95" s="3"/>
      <c r="M95" s="3"/>
      <c r="N95" s="3"/>
      <c r="P95"/>
      <c r="Q95" s="228"/>
      <c r="R95" s="228"/>
      <c r="S95" s="228"/>
      <c r="T95" s="228"/>
      <c r="U95" s="228"/>
      <c r="V95" s="213"/>
      <c r="W95" s="213"/>
      <c r="X95" s="229"/>
      <c r="Y95" s="213"/>
      <c r="Z95" s="213"/>
      <c r="AA95" s="211"/>
      <c r="AB95" s="211"/>
      <c r="AC95" s="211"/>
      <c r="AD95" s="211"/>
      <c r="AE95" s="211"/>
      <c r="AF95" s="211"/>
      <c r="AG95" s="211"/>
      <c r="AH95" s="211"/>
      <c r="AI95" s="211"/>
      <c r="AJ95" s="211"/>
      <c r="AK95" s="211"/>
      <c r="AL95" s="211"/>
      <c r="AM95" s="211"/>
      <c r="AN95" s="211"/>
      <c r="AO95" s="211"/>
      <c r="AP95" s="211"/>
      <c r="AQ95" s="211"/>
      <c r="AR95" s="211"/>
      <c r="AS95" s="213"/>
      <c r="AT95" s="213"/>
      <c r="AU95" s="213"/>
      <c r="AV95" s="213"/>
      <c r="AW95" s="213"/>
      <c r="AX95" s="213"/>
      <c r="AY95" s="213"/>
      <c r="AZ95" s="213"/>
      <c r="BA95" s="213"/>
      <c r="BB95" s="213"/>
      <c r="BC95" s="213"/>
      <c r="BD95" s="213"/>
      <c r="BE95" s="213"/>
      <c r="BF95" s="213"/>
      <c r="BG95" s="213"/>
      <c r="BH95" s="213"/>
      <c r="BI95" s="213"/>
      <c r="BJ95" s="213"/>
      <c r="BK95" s="213"/>
    </row>
    <row r="96" spans="1:63" s="7" customFormat="1" ht="12.75">
      <c r="A96" s="242"/>
      <c r="B96" s="3"/>
      <c r="C96" s="3"/>
      <c r="D96" s="14" t="s">
        <v>269</v>
      </c>
      <c r="E96" s="13">
        <f>IF(K9="","",K9)</f>
        <v>47</v>
      </c>
      <c r="F96" s="72" t="str">
        <f>IF(E96="","","This score is reported as a z-score")</f>
        <v>This score is reported as a z-score</v>
      </c>
      <c r="G96" s="25"/>
      <c r="H96" s="25"/>
      <c r="I96" s="26"/>
      <c r="J96" s="3"/>
      <c r="K96" s="3"/>
      <c r="L96" s="3"/>
      <c r="M96" s="3"/>
      <c r="N96" s="3"/>
      <c r="Q96" s="213"/>
      <c r="R96" s="228"/>
      <c r="S96" s="228"/>
      <c r="T96" s="228"/>
      <c r="U96" s="228"/>
      <c r="V96" s="213"/>
      <c r="W96" s="213"/>
      <c r="X96" s="229"/>
      <c r="Y96" s="213"/>
      <c r="Z96" s="213"/>
      <c r="AA96" s="211"/>
      <c r="AB96" s="211"/>
      <c r="AC96" s="211"/>
      <c r="AD96" s="211"/>
      <c r="AE96" s="211"/>
      <c r="AF96" s="211"/>
      <c r="AG96" s="211"/>
      <c r="AH96" s="211"/>
      <c r="AI96" s="211"/>
      <c r="AJ96" s="211"/>
      <c r="AK96" s="211"/>
      <c r="AL96" s="211"/>
      <c r="AM96" s="211"/>
      <c r="AN96" s="211"/>
      <c r="AO96" s="211"/>
      <c r="AP96" s="211"/>
      <c r="AQ96" s="211"/>
      <c r="AR96" s="211"/>
      <c r="AS96" s="213"/>
      <c r="AT96" s="213"/>
      <c r="AU96" s="213"/>
      <c r="AV96" s="213"/>
      <c r="AW96" s="213"/>
      <c r="AX96" s="213"/>
      <c r="AY96" s="213"/>
      <c r="AZ96" s="213"/>
      <c r="BA96" s="213"/>
      <c r="BB96" s="213"/>
      <c r="BC96" s="213"/>
      <c r="BD96" s="213"/>
      <c r="BE96" s="213"/>
      <c r="BF96" s="213"/>
      <c r="BG96" s="213"/>
      <c r="BH96" s="213"/>
      <c r="BI96" s="213"/>
      <c r="BJ96" s="213"/>
      <c r="BK96" s="213"/>
    </row>
    <row r="97" spans="1:63" s="7" customFormat="1" ht="5.25" customHeight="1">
      <c r="A97" s="242"/>
      <c r="B97" s="3"/>
      <c r="C97" s="3"/>
      <c r="E97" s="13">
        <f>IF(C20="","",C20)</f>
      </c>
      <c r="F97" s="65"/>
      <c r="J97" s="3"/>
      <c r="K97" s="3"/>
      <c r="L97" s="3"/>
      <c r="M97" s="3"/>
      <c r="N97" s="3"/>
      <c r="O97" s="3"/>
      <c r="Q97" s="213"/>
      <c r="R97" s="228"/>
      <c r="S97" s="228"/>
      <c r="T97" s="228"/>
      <c r="U97" s="228"/>
      <c r="V97" s="213"/>
      <c r="W97" s="213"/>
      <c r="X97" s="229"/>
      <c r="Y97" s="213"/>
      <c r="Z97" s="213"/>
      <c r="AA97" s="211"/>
      <c r="AB97" s="211"/>
      <c r="AC97" s="211"/>
      <c r="AD97" s="211"/>
      <c r="AE97" s="211"/>
      <c r="AF97" s="211"/>
      <c r="AG97" s="211"/>
      <c r="AH97" s="211"/>
      <c r="AI97" s="211"/>
      <c r="AJ97" s="211"/>
      <c r="AK97" s="211"/>
      <c r="AL97" s="211"/>
      <c r="AM97" s="211"/>
      <c r="AN97" s="211"/>
      <c r="AO97" s="211"/>
      <c r="AP97" s="211"/>
      <c r="AQ97" s="211"/>
      <c r="AR97" s="211"/>
      <c r="AS97" s="213"/>
      <c r="AT97" s="213"/>
      <c r="AU97" s="213"/>
      <c r="AV97" s="213"/>
      <c r="AW97" s="213"/>
      <c r="AX97" s="213"/>
      <c r="AY97" s="213"/>
      <c r="AZ97" s="213"/>
      <c r="BA97" s="213"/>
      <c r="BB97" s="213"/>
      <c r="BC97" s="213"/>
      <c r="BD97" s="213"/>
      <c r="BE97" s="213"/>
      <c r="BF97" s="213"/>
      <c r="BG97" s="213"/>
      <c r="BH97" s="213"/>
      <c r="BI97" s="213"/>
      <c r="BJ97" s="213"/>
      <c r="BK97" s="213"/>
    </row>
    <row r="98" spans="1:63" s="7" customFormat="1" ht="5.25" customHeight="1">
      <c r="A98" s="242"/>
      <c r="B98" s="44"/>
      <c r="C98" s="44"/>
      <c r="D98" s="44"/>
      <c r="E98" s="67"/>
      <c r="F98" s="69"/>
      <c r="G98" s="67"/>
      <c r="H98" s="67"/>
      <c r="I98" s="67"/>
      <c r="J98" s="44"/>
      <c r="K98" s="44"/>
      <c r="L98" s="3"/>
      <c r="M98" s="3"/>
      <c r="N98" s="3"/>
      <c r="O98" s="3"/>
      <c r="Q98" s="213"/>
      <c r="R98" s="228"/>
      <c r="S98" s="228"/>
      <c r="T98" s="228"/>
      <c r="U98" s="228"/>
      <c r="V98" s="213"/>
      <c r="W98" s="213"/>
      <c r="X98" s="229"/>
      <c r="Y98" s="213"/>
      <c r="Z98" s="213"/>
      <c r="AA98" s="211"/>
      <c r="AB98" s="211"/>
      <c r="AC98" s="211"/>
      <c r="AD98" s="211"/>
      <c r="AE98" s="211"/>
      <c r="AF98" s="211"/>
      <c r="AG98" s="211"/>
      <c r="AH98" s="211"/>
      <c r="AI98" s="211"/>
      <c r="AJ98" s="211"/>
      <c r="AK98" s="211"/>
      <c r="AL98" s="211"/>
      <c r="AM98" s="211"/>
      <c r="AN98" s="211"/>
      <c r="AO98" s="211"/>
      <c r="AP98" s="211"/>
      <c r="AQ98" s="211"/>
      <c r="AR98" s="211"/>
      <c r="AS98" s="213"/>
      <c r="AT98" s="213"/>
      <c r="AU98" s="213"/>
      <c r="AV98" s="213"/>
      <c r="AW98" s="213"/>
      <c r="AX98" s="213"/>
      <c r="AY98" s="213"/>
      <c r="AZ98" s="213"/>
      <c r="BA98" s="213"/>
      <c r="BB98" s="213"/>
      <c r="BC98" s="213"/>
      <c r="BD98" s="213"/>
      <c r="BE98" s="213"/>
      <c r="BF98" s="213"/>
      <c r="BG98" s="213"/>
      <c r="BH98" s="213"/>
      <c r="BI98" s="213"/>
      <c r="BJ98" s="213"/>
      <c r="BK98" s="213"/>
    </row>
    <row r="99" spans="1:63" s="7" customFormat="1" ht="5.25" customHeight="1">
      <c r="A99" s="242"/>
      <c r="B99" s="3"/>
      <c r="C99" s="3"/>
      <c r="D99" s="3"/>
      <c r="F99" s="65"/>
      <c r="J99" s="3"/>
      <c r="K99" s="3"/>
      <c r="L99" s="3"/>
      <c r="M99" s="3"/>
      <c r="N99" s="3"/>
      <c r="O99" s="3"/>
      <c r="Q99" s="213"/>
      <c r="R99" s="228"/>
      <c r="S99" s="228"/>
      <c r="T99" s="228"/>
      <c r="U99" s="228"/>
      <c r="V99" s="213"/>
      <c r="W99" s="213"/>
      <c r="X99" s="229"/>
      <c r="Y99" s="213"/>
      <c r="Z99" s="213"/>
      <c r="AA99" s="211"/>
      <c r="AB99" s="211"/>
      <c r="AC99" s="211"/>
      <c r="AD99" s="211"/>
      <c r="AE99" s="211"/>
      <c r="AF99" s="211"/>
      <c r="AG99" s="211"/>
      <c r="AH99" s="211"/>
      <c r="AI99" s="211"/>
      <c r="AJ99" s="211"/>
      <c r="AK99" s="211"/>
      <c r="AL99" s="211"/>
      <c r="AM99" s="211"/>
      <c r="AN99" s="211"/>
      <c r="AO99" s="211"/>
      <c r="AP99" s="211"/>
      <c r="AQ99" s="211"/>
      <c r="AR99" s="211"/>
      <c r="AS99" s="213"/>
      <c r="AT99" s="213"/>
      <c r="AU99" s="213"/>
      <c r="AV99" s="213"/>
      <c r="AW99" s="213"/>
      <c r="AX99" s="213"/>
      <c r="AY99" s="213"/>
      <c r="AZ99" s="213"/>
      <c r="BA99" s="213"/>
      <c r="BB99" s="213"/>
      <c r="BC99" s="213"/>
      <c r="BD99" s="213"/>
      <c r="BE99" s="213"/>
      <c r="BF99" s="213"/>
      <c r="BG99" s="213"/>
      <c r="BH99" s="213"/>
      <c r="BI99" s="213"/>
      <c r="BJ99" s="213"/>
      <c r="BK99" s="213"/>
    </row>
    <row r="100" spans="1:63" s="7" customFormat="1" ht="12.75">
      <c r="A100" s="242"/>
      <c r="B100" s="3"/>
      <c r="C100" s="3"/>
      <c r="D100" s="38" t="s">
        <v>155</v>
      </c>
      <c r="E100" s="66">
        <f>IF(C40="","",C40)</f>
        <v>107</v>
      </c>
      <c r="F100" s="25" t="str">
        <f>IF(E100="","",E40)</f>
        <v>68 PR</v>
      </c>
      <c r="G100" s="234" t="str">
        <f>IF(F100="","",F40)</f>
        <v>98 to 116</v>
      </c>
      <c r="H100" s="234"/>
      <c r="I100" s="26" t="str">
        <f>IF(E100="","",H40)</f>
        <v>Average to High Average</v>
      </c>
      <c r="J100" s="3"/>
      <c r="K100" s="3"/>
      <c r="L100" s="3"/>
      <c r="M100" s="3"/>
      <c r="N100" s="3"/>
      <c r="O100" s="3"/>
      <c r="Q100" s="213"/>
      <c r="R100" s="228"/>
      <c r="S100" s="228"/>
      <c r="T100" s="228"/>
      <c r="U100" s="228"/>
      <c r="V100" s="213"/>
      <c r="W100" s="213"/>
      <c r="X100" s="229"/>
      <c r="Y100" s="213"/>
      <c r="Z100" s="213"/>
      <c r="AA100" s="211"/>
      <c r="AB100" s="211"/>
      <c r="AC100" s="211"/>
      <c r="AD100" s="211"/>
      <c r="AE100" s="211"/>
      <c r="AF100" s="211"/>
      <c r="AG100" s="211"/>
      <c r="AH100" s="211"/>
      <c r="AI100" s="211"/>
      <c r="AJ100" s="211"/>
      <c r="AK100" s="211"/>
      <c r="AL100" s="211"/>
      <c r="AM100" s="211"/>
      <c r="AN100" s="211"/>
      <c r="AO100" s="211"/>
      <c r="AP100" s="211"/>
      <c r="AQ100" s="211"/>
      <c r="AR100" s="211"/>
      <c r="AS100" s="213"/>
      <c r="AT100" s="213"/>
      <c r="AU100" s="213"/>
      <c r="AV100" s="213"/>
      <c r="AW100" s="213"/>
      <c r="AX100" s="213"/>
      <c r="AY100" s="213"/>
      <c r="AZ100" s="213"/>
      <c r="BA100" s="213"/>
      <c r="BB100" s="213"/>
      <c r="BC100" s="213"/>
      <c r="BD100" s="213"/>
      <c r="BE100" s="213"/>
      <c r="BF100" s="213"/>
      <c r="BG100" s="213"/>
      <c r="BH100" s="213"/>
      <c r="BI100" s="213"/>
      <c r="BJ100" s="213"/>
      <c r="BK100" s="213"/>
    </row>
    <row r="101" spans="1:63" s="7" customFormat="1" ht="5.25" customHeight="1">
      <c r="A101" s="242"/>
      <c r="B101" s="3"/>
      <c r="C101" s="3"/>
      <c r="D101" s="3"/>
      <c r="F101" s="65"/>
      <c r="J101" s="3"/>
      <c r="K101" s="3"/>
      <c r="L101" s="3"/>
      <c r="M101" s="28"/>
      <c r="N101" s="3"/>
      <c r="O101" s="3"/>
      <c r="Q101" s="213"/>
      <c r="R101" s="228"/>
      <c r="S101" s="228"/>
      <c r="T101" s="228"/>
      <c r="U101" s="228"/>
      <c r="V101" s="213"/>
      <c r="W101" s="213"/>
      <c r="X101" s="229"/>
      <c r="Y101" s="213"/>
      <c r="Z101" s="213"/>
      <c r="AA101" s="211"/>
      <c r="AB101" s="211"/>
      <c r="AC101" s="211"/>
      <c r="AD101" s="211"/>
      <c r="AE101" s="211"/>
      <c r="AF101" s="211"/>
      <c r="AG101" s="211"/>
      <c r="AH101" s="211"/>
      <c r="AI101" s="211"/>
      <c r="AJ101" s="211"/>
      <c r="AK101" s="211"/>
      <c r="AL101" s="211"/>
      <c r="AM101" s="211"/>
      <c r="AN101" s="211"/>
      <c r="AO101" s="211"/>
      <c r="AP101" s="211"/>
      <c r="AQ101" s="211"/>
      <c r="AR101" s="211"/>
      <c r="AS101" s="213"/>
      <c r="AT101" s="213"/>
      <c r="AU101" s="213"/>
      <c r="AV101" s="213"/>
      <c r="AW101" s="213"/>
      <c r="AX101" s="213"/>
      <c r="AY101" s="213"/>
      <c r="AZ101" s="213"/>
      <c r="BA101" s="213"/>
      <c r="BB101" s="213"/>
      <c r="BC101" s="213"/>
      <c r="BD101" s="213"/>
      <c r="BE101" s="213"/>
      <c r="BF101" s="213"/>
      <c r="BG101" s="213"/>
      <c r="BH101" s="213"/>
      <c r="BI101" s="213"/>
      <c r="BJ101" s="213"/>
      <c r="BK101" s="213"/>
    </row>
    <row r="102" spans="1:63" s="7" customFormat="1" ht="12.75">
      <c r="A102" s="242"/>
      <c r="B102" s="3"/>
      <c r="D102" s="23" t="s">
        <v>10</v>
      </c>
      <c r="E102" s="13">
        <f>IF(F9="","",F9)</f>
        <v>105</v>
      </c>
      <c r="F102" s="25" t="str">
        <f>IF(E102="","",LOOKUP(E102,conversion)&amp;" PR")</f>
        <v>63 PR</v>
      </c>
      <c r="G102" s="234" t="str">
        <f>IF(E102="","",-7+E102&amp;" to "&amp;E102+7)</f>
        <v>98 to 112</v>
      </c>
      <c r="H102" s="234"/>
      <c r="I102" s="26" t="str">
        <f>IF(E102="","",LOOKUP((-7+E102),$B$554:$H$555)&amp;" to "&amp;LOOKUP((7+E102),$B$554:$H$555))</f>
        <v>Average to High Average</v>
      </c>
      <c r="J102" s="3"/>
      <c r="K102" s="3"/>
      <c r="L102" s="3"/>
      <c r="M102" s="28"/>
      <c r="N102" s="3"/>
      <c r="O102" s="3"/>
      <c r="P102"/>
      <c r="Q102" s="228"/>
      <c r="R102" s="228"/>
      <c r="S102" s="228"/>
      <c r="T102" s="228"/>
      <c r="U102" s="228"/>
      <c r="V102" s="213"/>
      <c r="W102" s="213"/>
      <c r="X102" s="229"/>
      <c r="Y102" s="213"/>
      <c r="Z102" s="213"/>
      <c r="AA102" s="211"/>
      <c r="AB102" s="211"/>
      <c r="AC102" s="211"/>
      <c r="AD102" s="211"/>
      <c r="AE102" s="211"/>
      <c r="AF102" s="211"/>
      <c r="AG102" s="211"/>
      <c r="AH102" s="211"/>
      <c r="AI102" s="211"/>
      <c r="AJ102" s="211"/>
      <c r="AK102" s="211"/>
      <c r="AL102" s="211"/>
      <c r="AM102" s="211"/>
      <c r="AN102" s="211"/>
      <c r="AO102" s="211"/>
      <c r="AP102" s="211"/>
      <c r="AQ102" s="211"/>
      <c r="AR102" s="211"/>
      <c r="AS102" s="213"/>
      <c r="AT102" s="213"/>
      <c r="AU102" s="213"/>
      <c r="AV102" s="213"/>
      <c r="AW102" s="213"/>
      <c r="AX102" s="213"/>
      <c r="AY102" s="213"/>
      <c r="AZ102" s="213"/>
      <c r="BA102" s="213"/>
      <c r="BB102" s="213"/>
      <c r="BC102" s="213"/>
      <c r="BD102" s="213"/>
      <c r="BE102" s="213"/>
      <c r="BF102" s="213"/>
      <c r="BG102" s="213"/>
      <c r="BH102" s="213"/>
      <c r="BI102" s="213"/>
      <c r="BJ102" s="213"/>
      <c r="BK102" s="213"/>
    </row>
    <row r="103" spans="1:63" s="7" customFormat="1" ht="12.75">
      <c r="A103" s="242"/>
      <c r="C103" s="3"/>
      <c r="D103" s="19" t="s">
        <v>257</v>
      </c>
      <c r="E103" s="13">
        <f>IF(F13="","",F13)</f>
        <v>107</v>
      </c>
      <c r="F103" s="25" t="str">
        <f>IF(E103="","",LOOKUP(E103,conversion)&amp;" PR")</f>
        <v>68 PR</v>
      </c>
      <c r="G103" s="234" t="str">
        <f>IF(E103="","",-12+E103&amp;" to "&amp;E103+12)</f>
        <v>95 to 119</v>
      </c>
      <c r="H103" s="234"/>
      <c r="I103" s="26" t="str">
        <f>IF(E103="","",LOOKUP((-12+E103),$B$554:$H$555)&amp;" to "&amp;LOOKUP((12+E103),$B$554:$H$555))</f>
        <v>Average to High Average</v>
      </c>
      <c r="J103" s="3"/>
      <c r="K103" s="3"/>
      <c r="L103" s="3"/>
      <c r="M103" s="28"/>
      <c r="N103" s="3"/>
      <c r="O103" s="3"/>
      <c r="P103"/>
      <c r="Q103" s="228"/>
      <c r="R103" s="228"/>
      <c r="S103" s="228"/>
      <c r="T103" s="228"/>
      <c r="U103" s="228"/>
      <c r="V103" s="213"/>
      <c r="W103" s="213"/>
      <c r="X103" s="229"/>
      <c r="Y103" s="213"/>
      <c r="Z103" s="213"/>
      <c r="AA103" s="211"/>
      <c r="AB103" s="211"/>
      <c r="AC103" s="211"/>
      <c r="AD103" s="211"/>
      <c r="AE103" s="211"/>
      <c r="AF103" s="211"/>
      <c r="AG103" s="211"/>
      <c r="AH103" s="211"/>
      <c r="AI103" s="211"/>
      <c r="AJ103" s="211"/>
      <c r="AK103" s="211"/>
      <c r="AL103" s="211"/>
      <c r="AM103" s="211"/>
      <c r="AN103" s="211"/>
      <c r="AO103" s="211"/>
      <c r="AP103" s="211"/>
      <c r="AQ103" s="211"/>
      <c r="AR103" s="211"/>
      <c r="AS103" s="213"/>
      <c r="AT103" s="213"/>
      <c r="AU103" s="213"/>
      <c r="AV103" s="213"/>
      <c r="AW103" s="213"/>
      <c r="AX103" s="213"/>
      <c r="AY103" s="213"/>
      <c r="AZ103" s="213"/>
      <c r="BA103" s="213"/>
      <c r="BB103" s="213"/>
      <c r="BC103" s="213"/>
      <c r="BD103" s="213"/>
      <c r="BE103" s="213"/>
      <c r="BF103" s="213"/>
      <c r="BG103" s="213"/>
      <c r="BH103" s="213"/>
      <c r="BI103" s="213"/>
      <c r="BJ103" s="213"/>
      <c r="BK103" s="213"/>
    </row>
    <row r="104" spans="1:63" s="7" customFormat="1" ht="12.75">
      <c r="A104" s="242"/>
      <c r="C104" s="3"/>
      <c r="D104" s="19" t="s">
        <v>658</v>
      </c>
      <c r="E104" s="13">
        <f>IF(F17="","",F17)</f>
      </c>
      <c r="F104" s="25">
        <f>IF(E104="","",LOOKUP(E104,conversion)&amp;" PR")</f>
      </c>
      <c r="G104" s="234">
        <f>IF(E104="","",-12+E104&amp;" to "&amp;E104+12)</f>
      </c>
      <c r="H104" s="234"/>
      <c r="I104" s="26">
        <f>IF(E104="","",LOOKUP((-12+E104),$B$554:$H$555)&amp;" to "&amp;LOOKUP((12+E104),$B$554:$H$555))</f>
      </c>
      <c r="J104" s="3"/>
      <c r="K104" s="3"/>
      <c r="L104" s="3"/>
      <c r="M104" s="28"/>
      <c r="N104" s="3"/>
      <c r="O104" s="3"/>
      <c r="P104"/>
      <c r="Q104" s="228"/>
      <c r="R104" s="228"/>
      <c r="S104" s="228"/>
      <c r="T104" s="228"/>
      <c r="U104" s="228"/>
      <c r="V104" s="213"/>
      <c r="W104" s="213"/>
      <c r="X104" s="229"/>
      <c r="Y104" s="213"/>
      <c r="Z104" s="213"/>
      <c r="AA104" s="211"/>
      <c r="AB104" s="211"/>
      <c r="AC104" s="211"/>
      <c r="AD104" s="211"/>
      <c r="AE104" s="211"/>
      <c r="AF104" s="211"/>
      <c r="AG104" s="211"/>
      <c r="AH104" s="211"/>
      <c r="AI104" s="211"/>
      <c r="AJ104" s="211"/>
      <c r="AK104" s="211"/>
      <c r="AL104" s="211"/>
      <c r="AM104" s="211"/>
      <c r="AN104" s="211"/>
      <c r="AO104" s="211"/>
      <c r="AP104" s="211"/>
      <c r="AQ104" s="211"/>
      <c r="AR104" s="211"/>
      <c r="AS104" s="213"/>
      <c r="AT104" s="213"/>
      <c r="AU104" s="213"/>
      <c r="AV104" s="213"/>
      <c r="AW104" s="213"/>
      <c r="AX104" s="213"/>
      <c r="AY104" s="213"/>
      <c r="AZ104" s="213"/>
      <c r="BA104" s="213"/>
      <c r="BB104" s="213"/>
      <c r="BC104" s="213"/>
      <c r="BD104" s="213"/>
      <c r="BE104" s="213"/>
      <c r="BF104" s="213"/>
      <c r="BG104" s="213"/>
      <c r="BH104" s="213"/>
      <c r="BI104" s="213"/>
      <c r="BJ104" s="213"/>
      <c r="BK104" s="213"/>
    </row>
    <row r="105" spans="1:63" s="7" customFormat="1" ht="12.75">
      <c r="A105" s="242"/>
      <c r="B105" s="3"/>
      <c r="C105" s="3"/>
      <c r="D105" s="23" t="s">
        <v>249</v>
      </c>
      <c r="E105" s="13">
        <f>IF(J13="","",J13)</f>
        <v>111</v>
      </c>
      <c r="F105" s="25" t="str">
        <f>IF(E105="","",LOOKUP(E105,conversion)&amp;" PR")</f>
        <v>77 PR</v>
      </c>
      <c r="G105" s="234" t="str">
        <f>IF(E105="","",-25+E105&amp;" to "&amp;E105+25)</f>
        <v>86 to 136</v>
      </c>
      <c r="H105" s="234"/>
      <c r="I105" s="26" t="str">
        <f>IF(E105="","",LOOKUP((-25+E105),$B$554:$H$555)&amp;" to "&amp;LOOKUP((25+E105),$B$554:$H$555))</f>
        <v>Low Average to Very Superior</v>
      </c>
      <c r="J105" s="3"/>
      <c r="K105" s="3"/>
      <c r="L105" s="3"/>
      <c r="M105" s="3"/>
      <c r="N105" s="3"/>
      <c r="O105" s="3"/>
      <c r="P105"/>
      <c r="Q105" s="228"/>
      <c r="R105" s="228"/>
      <c r="S105" s="228"/>
      <c r="T105" s="228"/>
      <c r="U105" s="228"/>
      <c r="V105" s="213"/>
      <c r="W105" s="213"/>
      <c r="X105" s="229"/>
      <c r="Y105" s="213"/>
      <c r="Z105" s="213"/>
      <c r="AA105" s="211"/>
      <c r="AB105" s="211"/>
      <c r="AC105" s="211"/>
      <c r="AD105" s="211"/>
      <c r="AE105" s="211"/>
      <c r="AF105" s="211"/>
      <c r="AG105" s="211"/>
      <c r="AH105" s="211"/>
      <c r="AI105" s="211"/>
      <c r="AJ105" s="211"/>
      <c r="AK105" s="211"/>
      <c r="AL105" s="211"/>
      <c r="AM105" s="211"/>
      <c r="AN105" s="211"/>
      <c r="AO105" s="211"/>
      <c r="AP105" s="211"/>
      <c r="AQ105" s="211"/>
      <c r="AR105" s="211"/>
      <c r="AS105" s="213"/>
      <c r="AT105" s="213"/>
      <c r="AU105" s="213"/>
      <c r="AV105" s="213"/>
      <c r="AW105" s="213"/>
      <c r="AX105" s="213"/>
      <c r="AY105" s="213"/>
      <c r="AZ105" s="213"/>
      <c r="BA105" s="213"/>
      <c r="BB105" s="213"/>
      <c r="BC105" s="213"/>
      <c r="BD105" s="213"/>
      <c r="BE105" s="213"/>
      <c r="BF105" s="213"/>
      <c r="BG105" s="213"/>
      <c r="BH105" s="213"/>
      <c r="BI105" s="213"/>
      <c r="BJ105" s="213"/>
      <c r="BK105" s="213"/>
    </row>
    <row r="106" spans="1:63" s="7" customFormat="1" ht="5.25" customHeight="1">
      <c r="A106" s="242"/>
      <c r="B106" s="3"/>
      <c r="C106" s="3"/>
      <c r="D106" s="23"/>
      <c r="E106" s="13"/>
      <c r="F106" s="25"/>
      <c r="G106" s="25"/>
      <c r="H106" s="25"/>
      <c r="I106" s="26"/>
      <c r="J106" s="3"/>
      <c r="K106" s="3"/>
      <c r="L106" s="3"/>
      <c r="M106" s="3"/>
      <c r="N106" s="3"/>
      <c r="O106" s="3"/>
      <c r="P106"/>
      <c r="Q106" s="228"/>
      <c r="R106" s="228"/>
      <c r="S106" s="228"/>
      <c r="T106" s="228"/>
      <c r="U106" s="228"/>
      <c r="V106" s="213"/>
      <c r="W106" s="213"/>
      <c r="X106" s="229"/>
      <c r="Y106" s="213"/>
      <c r="Z106" s="213"/>
      <c r="AA106" s="211"/>
      <c r="AB106" s="211"/>
      <c r="AC106" s="211"/>
      <c r="AD106" s="211"/>
      <c r="AE106" s="211"/>
      <c r="AF106" s="211"/>
      <c r="AG106" s="211"/>
      <c r="AH106" s="211"/>
      <c r="AI106" s="211"/>
      <c r="AJ106" s="211"/>
      <c r="AK106" s="211"/>
      <c r="AL106" s="211"/>
      <c r="AM106" s="211"/>
      <c r="AN106" s="211"/>
      <c r="AO106" s="211"/>
      <c r="AP106" s="211"/>
      <c r="AQ106" s="211"/>
      <c r="AR106" s="211"/>
      <c r="AS106" s="213"/>
      <c r="AT106" s="213"/>
      <c r="AU106" s="213"/>
      <c r="AV106" s="213"/>
      <c r="AW106" s="213"/>
      <c r="AX106" s="213"/>
      <c r="AY106" s="213"/>
      <c r="AZ106" s="213"/>
      <c r="BA106" s="213"/>
      <c r="BB106" s="213"/>
      <c r="BC106" s="213"/>
      <c r="BD106" s="213"/>
      <c r="BE106" s="213"/>
      <c r="BF106" s="213"/>
      <c r="BG106" s="213"/>
      <c r="BH106" s="213"/>
      <c r="BI106" s="213"/>
      <c r="BJ106" s="213"/>
      <c r="BK106" s="213"/>
    </row>
    <row r="107" spans="1:63" s="7" customFormat="1" ht="5.25" customHeight="1">
      <c r="A107" s="242"/>
      <c r="B107" s="44"/>
      <c r="C107" s="44"/>
      <c r="D107" s="45"/>
      <c r="E107" s="68"/>
      <c r="F107" s="47"/>
      <c r="G107" s="47"/>
      <c r="H107" s="47"/>
      <c r="I107" s="48"/>
      <c r="J107" s="44"/>
      <c r="K107" s="44"/>
      <c r="L107" s="3"/>
      <c r="M107" s="3"/>
      <c r="N107" s="3"/>
      <c r="O107" s="3"/>
      <c r="P107"/>
      <c r="Q107" s="228"/>
      <c r="R107" s="228"/>
      <c r="S107" s="228"/>
      <c r="T107" s="228"/>
      <c r="U107" s="228"/>
      <c r="V107" s="213"/>
      <c r="W107" s="213"/>
      <c r="X107" s="229"/>
      <c r="Y107" s="213"/>
      <c r="Z107" s="213"/>
      <c r="AA107" s="211"/>
      <c r="AB107" s="211"/>
      <c r="AC107" s="211"/>
      <c r="AD107" s="211"/>
      <c r="AE107" s="211"/>
      <c r="AF107" s="211"/>
      <c r="AG107" s="211"/>
      <c r="AH107" s="211"/>
      <c r="AI107" s="211"/>
      <c r="AJ107" s="211"/>
      <c r="AK107" s="211"/>
      <c r="AL107" s="211"/>
      <c r="AM107" s="211"/>
      <c r="AN107" s="211"/>
      <c r="AO107" s="211"/>
      <c r="AP107" s="211"/>
      <c r="AQ107" s="211"/>
      <c r="AR107" s="211"/>
      <c r="AS107" s="213"/>
      <c r="AT107" s="213"/>
      <c r="AU107" s="213"/>
      <c r="AV107" s="213"/>
      <c r="AW107" s="213"/>
      <c r="AX107" s="213"/>
      <c r="AY107" s="213"/>
      <c r="AZ107" s="213"/>
      <c r="BA107" s="213"/>
      <c r="BB107" s="213"/>
      <c r="BC107" s="213"/>
      <c r="BD107" s="213"/>
      <c r="BE107" s="213"/>
      <c r="BF107" s="213"/>
      <c r="BG107" s="213"/>
      <c r="BH107" s="213"/>
      <c r="BI107" s="213"/>
      <c r="BJ107" s="213"/>
      <c r="BK107" s="213"/>
    </row>
    <row r="108" spans="1:63" s="7" customFormat="1" ht="5.25" customHeight="1">
      <c r="A108" s="242"/>
      <c r="B108" s="3"/>
      <c r="C108" s="3"/>
      <c r="F108" s="65"/>
      <c r="J108" s="3"/>
      <c r="K108" s="3"/>
      <c r="L108" s="3"/>
      <c r="M108" s="3"/>
      <c r="N108" s="3"/>
      <c r="O108" s="3"/>
      <c r="P108"/>
      <c r="Q108" s="228"/>
      <c r="R108" s="228"/>
      <c r="S108" s="228"/>
      <c r="T108" s="228"/>
      <c r="U108" s="228"/>
      <c r="V108" s="213"/>
      <c r="W108" s="213"/>
      <c r="X108" s="229"/>
      <c r="Y108" s="213"/>
      <c r="Z108" s="213"/>
      <c r="AA108" s="211"/>
      <c r="AB108" s="211"/>
      <c r="AC108" s="211"/>
      <c r="AD108" s="211"/>
      <c r="AE108" s="211"/>
      <c r="AF108" s="211"/>
      <c r="AG108" s="211"/>
      <c r="AH108" s="211"/>
      <c r="AI108" s="211"/>
      <c r="AJ108" s="211"/>
      <c r="AK108" s="211"/>
      <c r="AL108" s="211"/>
      <c r="AM108" s="211"/>
      <c r="AN108" s="211"/>
      <c r="AO108" s="211"/>
      <c r="AP108" s="211"/>
      <c r="AQ108" s="211"/>
      <c r="AR108" s="211"/>
      <c r="AS108" s="213"/>
      <c r="AT108" s="213"/>
      <c r="AU108" s="213"/>
      <c r="AV108" s="213"/>
      <c r="AW108" s="213"/>
      <c r="AX108" s="213"/>
      <c r="AY108" s="213"/>
      <c r="AZ108" s="213"/>
      <c r="BA108" s="213"/>
      <c r="BB108" s="213"/>
      <c r="BC108" s="213"/>
      <c r="BD108" s="213"/>
      <c r="BE108" s="213"/>
      <c r="BF108" s="213"/>
      <c r="BG108" s="213"/>
      <c r="BH108" s="213"/>
      <c r="BI108" s="213"/>
      <c r="BJ108" s="213"/>
      <c r="BK108" s="213"/>
    </row>
    <row r="109" spans="1:63" s="7" customFormat="1" ht="12.75">
      <c r="A109" s="242"/>
      <c r="B109" s="24"/>
      <c r="C109" s="3"/>
      <c r="D109" s="36" t="s">
        <v>156</v>
      </c>
      <c r="E109" s="66">
        <f>IF(C42="","",C42)</f>
        <v>100</v>
      </c>
      <c r="F109" s="25" t="str">
        <f>IF(E109="","",E42)</f>
        <v>50 PR</v>
      </c>
      <c r="G109" s="234" t="str">
        <f>IF(F109="","",F42)</f>
        <v>93 to 107</v>
      </c>
      <c r="H109" s="234"/>
      <c r="I109" s="26" t="str">
        <f>IF(E109="","",H42)</f>
        <v>Average to Average</v>
      </c>
      <c r="J109" s="3"/>
      <c r="K109" s="3"/>
      <c r="L109" s="3"/>
      <c r="M109" s="3"/>
      <c r="N109" s="3"/>
      <c r="O109" s="3"/>
      <c r="P109"/>
      <c r="Q109" s="228"/>
      <c r="R109" s="228"/>
      <c r="S109" s="228"/>
      <c r="T109" s="228"/>
      <c r="U109" s="228"/>
      <c r="V109" s="213"/>
      <c r="W109" s="213"/>
      <c r="X109" s="229"/>
      <c r="Y109" s="213"/>
      <c r="Z109" s="213"/>
      <c r="AA109" s="211"/>
      <c r="AB109" s="211"/>
      <c r="AC109" s="211"/>
      <c r="AD109" s="211"/>
      <c r="AE109" s="211"/>
      <c r="AF109" s="211"/>
      <c r="AG109" s="211"/>
      <c r="AH109" s="211"/>
      <c r="AI109" s="211"/>
      <c r="AJ109" s="211"/>
      <c r="AK109" s="211"/>
      <c r="AL109" s="211"/>
      <c r="AM109" s="211"/>
      <c r="AN109" s="211"/>
      <c r="AO109" s="211"/>
      <c r="AP109" s="211"/>
      <c r="AQ109" s="211"/>
      <c r="AR109" s="211"/>
      <c r="AS109" s="213"/>
      <c r="AT109" s="213"/>
      <c r="AU109" s="213"/>
      <c r="AV109" s="213"/>
      <c r="AW109" s="213"/>
      <c r="AX109" s="213"/>
      <c r="AY109" s="213"/>
      <c r="AZ109" s="213"/>
      <c r="BA109" s="213"/>
      <c r="BB109" s="213"/>
      <c r="BC109" s="213"/>
      <c r="BD109" s="213"/>
      <c r="BE109" s="213"/>
      <c r="BF109" s="213"/>
      <c r="BG109" s="213"/>
      <c r="BH109" s="213"/>
      <c r="BI109" s="213"/>
      <c r="BJ109" s="213"/>
      <c r="BK109" s="213"/>
    </row>
    <row r="110" spans="1:63" s="7" customFormat="1" ht="5.25" customHeight="1">
      <c r="A110" s="242"/>
      <c r="D110" s="3"/>
      <c r="J110" s="3"/>
      <c r="K110" s="3"/>
      <c r="L110" s="3"/>
      <c r="M110" s="3"/>
      <c r="N110" s="3"/>
      <c r="O110" s="3"/>
      <c r="P110"/>
      <c r="Q110" s="228"/>
      <c r="R110" s="228"/>
      <c r="S110" s="228"/>
      <c r="T110" s="228"/>
      <c r="U110" s="228"/>
      <c r="V110" s="213"/>
      <c r="W110" s="213"/>
      <c r="X110" s="229"/>
      <c r="Y110" s="213"/>
      <c r="Z110" s="213"/>
      <c r="AA110" s="211"/>
      <c r="AB110" s="211"/>
      <c r="AC110" s="211"/>
      <c r="AD110" s="211"/>
      <c r="AE110" s="211"/>
      <c r="AF110" s="211"/>
      <c r="AG110" s="211"/>
      <c r="AH110" s="211"/>
      <c r="AI110" s="211"/>
      <c r="AJ110" s="211"/>
      <c r="AK110" s="211"/>
      <c r="AL110" s="211"/>
      <c r="AM110" s="211"/>
      <c r="AN110" s="211"/>
      <c r="AO110" s="211"/>
      <c r="AP110" s="211"/>
      <c r="AQ110" s="211"/>
      <c r="AR110" s="211"/>
      <c r="AS110" s="213"/>
      <c r="AT110" s="213"/>
      <c r="AU110" s="213"/>
      <c r="AV110" s="213"/>
      <c r="AW110" s="213"/>
      <c r="AX110" s="213"/>
      <c r="AY110" s="213"/>
      <c r="AZ110" s="213"/>
      <c r="BA110" s="213"/>
      <c r="BB110" s="213"/>
      <c r="BC110" s="213"/>
      <c r="BD110" s="213"/>
      <c r="BE110" s="213"/>
      <c r="BF110" s="213"/>
      <c r="BG110" s="213"/>
      <c r="BH110" s="213"/>
      <c r="BI110" s="213"/>
      <c r="BJ110" s="213"/>
      <c r="BK110" s="213"/>
    </row>
    <row r="111" spans="1:63" s="7" customFormat="1" ht="12.75">
      <c r="A111" s="242"/>
      <c r="D111" s="23" t="s">
        <v>258</v>
      </c>
      <c r="E111" s="13">
        <f>IF(G9="","",G9)</f>
        <v>106</v>
      </c>
      <c r="F111" s="25" t="str">
        <f>IF(E111="","",LOOKUP(E111,conversion)&amp;" PR")</f>
        <v>66 PR</v>
      </c>
      <c r="G111" s="234" t="str">
        <f>IF(E111="","",-9+E111&amp;" to "&amp;E111+9)</f>
        <v>97 to 115</v>
      </c>
      <c r="H111" s="234"/>
      <c r="I111" s="26" t="str">
        <f>IF(E111="","",LOOKUP((-9+E111),$B$554:$H$555)&amp;" to "&amp;LOOKUP((9+E111),$B$554:$H$555))</f>
        <v>Average to High Average</v>
      </c>
      <c r="J111" s="3"/>
      <c r="K111" s="3"/>
      <c r="L111" s="3"/>
      <c r="M111" s="3"/>
      <c r="N111" s="3"/>
      <c r="O111" s="3"/>
      <c r="P111"/>
      <c r="Q111" s="228"/>
      <c r="R111" s="228"/>
      <c r="S111" s="228"/>
      <c r="T111" s="228"/>
      <c r="U111" s="228"/>
      <c r="V111" s="213"/>
      <c r="W111" s="213"/>
      <c r="X111" s="229"/>
      <c r="Y111" s="213"/>
      <c r="Z111" s="213"/>
      <c r="AA111" s="211"/>
      <c r="AB111" s="211"/>
      <c r="AC111" s="211"/>
      <c r="AD111" s="211"/>
      <c r="AE111" s="211"/>
      <c r="AF111" s="211"/>
      <c r="AG111" s="211"/>
      <c r="AH111" s="211"/>
      <c r="AI111" s="211"/>
      <c r="AJ111" s="211"/>
      <c r="AK111" s="211"/>
      <c r="AL111" s="211"/>
      <c r="AM111" s="211"/>
      <c r="AN111" s="211"/>
      <c r="AO111" s="211"/>
      <c r="AP111" s="211"/>
      <c r="AQ111" s="211"/>
      <c r="AR111" s="211"/>
      <c r="AS111" s="213"/>
      <c r="AT111" s="213"/>
      <c r="AU111" s="213"/>
      <c r="AV111" s="213"/>
      <c r="AW111" s="213"/>
      <c r="AX111" s="213"/>
      <c r="AY111" s="213"/>
      <c r="AZ111" s="213"/>
      <c r="BA111" s="213"/>
      <c r="BB111" s="213"/>
      <c r="BC111" s="213"/>
      <c r="BD111" s="213"/>
      <c r="BE111" s="213"/>
      <c r="BF111" s="213"/>
      <c r="BG111" s="213"/>
      <c r="BH111" s="213"/>
      <c r="BI111" s="213"/>
      <c r="BJ111" s="213"/>
      <c r="BK111" s="213"/>
    </row>
    <row r="112" spans="1:63" s="7" customFormat="1" ht="12.75">
      <c r="A112" s="242"/>
      <c r="D112" s="23" t="s">
        <v>259</v>
      </c>
      <c r="E112" s="13">
        <f>IF(G13="","",G13)</f>
        <v>94</v>
      </c>
      <c r="F112" s="25" t="str">
        <f>IF(E112="","",LOOKUP(E112,conversion)&amp;" PR")</f>
        <v>34 PR</v>
      </c>
      <c r="G112" s="234" t="str">
        <f>IF(E112="","",-10+E112&amp;" to "&amp;E112+10)</f>
        <v>84 to 104</v>
      </c>
      <c r="H112" s="234"/>
      <c r="I112" s="26" t="str">
        <f>IF(E112="","",LOOKUP((-10+E112),$B$554:$H$555)&amp;" to "&amp;LOOKUP((10+E112),$B$554:$H$555))</f>
        <v>Low Average to Average</v>
      </c>
      <c r="J112" s="3"/>
      <c r="K112" s="3"/>
      <c r="L112" s="3"/>
      <c r="N112" s="3"/>
      <c r="O112" s="3"/>
      <c r="P112"/>
      <c r="Q112" s="228"/>
      <c r="R112" s="228"/>
      <c r="S112" s="228"/>
      <c r="T112" s="228"/>
      <c r="U112" s="228"/>
      <c r="V112" s="213"/>
      <c r="W112" s="213"/>
      <c r="X112" s="229"/>
      <c r="Y112" s="213"/>
      <c r="Z112" s="213"/>
      <c r="AA112" s="211"/>
      <c r="AB112" s="211"/>
      <c r="AC112" s="211"/>
      <c r="AD112" s="211"/>
      <c r="AE112" s="211"/>
      <c r="AF112" s="211"/>
      <c r="AG112" s="211"/>
      <c r="AH112" s="211"/>
      <c r="AI112" s="211"/>
      <c r="AJ112" s="211"/>
      <c r="AK112" s="211"/>
      <c r="AL112" s="211"/>
      <c r="AM112" s="211"/>
      <c r="AN112" s="211"/>
      <c r="AO112" s="211"/>
      <c r="AP112" s="211"/>
      <c r="AQ112" s="211"/>
      <c r="AR112" s="211"/>
      <c r="AS112" s="213"/>
      <c r="AT112" s="213"/>
      <c r="AU112" s="213"/>
      <c r="AV112" s="213"/>
      <c r="AW112" s="213"/>
      <c r="AX112" s="213"/>
      <c r="AY112" s="213"/>
      <c r="AZ112" s="213"/>
      <c r="BA112" s="213"/>
      <c r="BB112" s="213"/>
      <c r="BC112" s="213"/>
      <c r="BD112" s="213"/>
      <c r="BE112" s="213"/>
      <c r="BF112" s="213"/>
      <c r="BG112" s="213"/>
      <c r="BH112" s="213"/>
      <c r="BI112" s="213"/>
      <c r="BJ112" s="213"/>
      <c r="BK112" s="213"/>
    </row>
    <row r="113" spans="1:63" s="7" customFormat="1" ht="12.75">
      <c r="A113" s="242"/>
      <c r="C113" s="3"/>
      <c r="D113" s="23" t="s">
        <v>254</v>
      </c>
      <c r="E113" s="13">
        <f>IF(I13="","",I13)</f>
        <v>76</v>
      </c>
      <c r="F113" s="25" t="str">
        <f>IF(E113="","",LOOKUP(E113,conversion)&amp;" PR")</f>
        <v>5 PR</v>
      </c>
      <c r="G113" s="234" t="str">
        <f>IF(E113="","",-4+E113&amp;" to "&amp;E113+4)</f>
        <v>72 to 80</v>
      </c>
      <c r="H113" s="234"/>
      <c r="I113" s="26" t="str">
        <f>IF(E113="","",LOOKUP((-4+E113),$B$554:$H$555)&amp;" to "&amp;LOOKUP((4+E113),$B$554:$H$555))</f>
        <v>Low to Low Average</v>
      </c>
      <c r="J113" s="18"/>
      <c r="K113" s="3"/>
      <c r="L113" s="3"/>
      <c r="M113" s="3"/>
      <c r="N113" s="3"/>
      <c r="O113" s="3"/>
      <c r="P113"/>
      <c r="Q113" s="228"/>
      <c r="R113" s="228"/>
      <c r="S113" s="228"/>
      <c r="T113" s="228"/>
      <c r="U113" s="228"/>
      <c r="V113" s="213"/>
      <c r="W113" s="213"/>
      <c r="X113" s="229"/>
      <c r="Y113" s="213"/>
      <c r="Z113" s="213"/>
      <c r="AA113" s="211"/>
      <c r="AB113" s="211"/>
      <c r="AC113" s="211"/>
      <c r="AD113" s="211"/>
      <c r="AE113" s="211"/>
      <c r="AF113" s="211"/>
      <c r="AG113" s="211"/>
      <c r="AH113" s="211"/>
      <c r="AI113" s="211"/>
      <c r="AJ113" s="211"/>
      <c r="AK113" s="211"/>
      <c r="AL113" s="211"/>
      <c r="AM113" s="211"/>
      <c r="AN113" s="211"/>
      <c r="AO113" s="211"/>
      <c r="AP113" s="211"/>
      <c r="AQ113" s="211"/>
      <c r="AR113" s="211"/>
      <c r="AS113" s="213"/>
      <c r="AT113" s="213"/>
      <c r="AU113" s="213"/>
      <c r="AV113" s="213"/>
      <c r="AW113" s="213"/>
      <c r="AX113" s="213"/>
      <c r="AY113" s="213"/>
      <c r="AZ113" s="213"/>
      <c r="BA113" s="213"/>
      <c r="BB113" s="213"/>
      <c r="BC113" s="213"/>
      <c r="BD113" s="213"/>
      <c r="BE113" s="213"/>
      <c r="BF113" s="213"/>
      <c r="BG113" s="213"/>
      <c r="BH113" s="213"/>
      <c r="BI113" s="213"/>
      <c r="BJ113" s="213"/>
      <c r="BK113" s="213"/>
    </row>
    <row r="114" spans="1:63" s="7" customFormat="1" ht="12.75">
      <c r="A114" s="242"/>
      <c r="C114" s="3"/>
      <c r="D114" s="23" t="s">
        <v>255</v>
      </c>
      <c r="E114" s="13">
        <f>IF(K13="","",K13)</f>
        <v>79</v>
      </c>
      <c r="F114" s="25" t="str">
        <f>IF(E114="","",LOOKUP(E114,conversion)&amp;" PR")</f>
        <v>8 PR</v>
      </c>
      <c r="G114" s="234" t="str">
        <f>IF(E114="","",-5+E114&amp;" to "&amp;E114+5)</f>
        <v>74 to 84</v>
      </c>
      <c r="H114" s="234"/>
      <c r="I114" s="26" t="str">
        <f>IF(E114="","",LOOKUP((-5+E114),$B$554:$H$555)&amp;" to "&amp;LOOKUP((5+E114),$B$554:$H$555))</f>
        <v>Low to Low Average</v>
      </c>
      <c r="J114" s="18"/>
      <c r="K114" s="3"/>
      <c r="L114" s="3"/>
      <c r="M114" s="3"/>
      <c r="N114" s="3"/>
      <c r="O114" s="3"/>
      <c r="P114"/>
      <c r="Q114" s="228"/>
      <c r="R114" s="228"/>
      <c r="S114" s="228"/>
      <c r="T114" s="228"/>
      <c r="U114" s="228"/>
      <c r="V114" s="213"/>
      <c r="W114" s="213"/>
      <c r="X114" s="229"/>
      <c r="Y114" s="213"/>
      <c r="Z114" s="213"/>
      <c r="AA114" s="211"/>
      <c r="AB114" s="211"/>
      <c r="AC114" s="211"/>
      <c r="AD114" s="211"/>
      <c r="AE114" s="211"/>
      <c r="AF114" s="211"/>
      <c r="AG114" s="211"/>
      <c r="AH114" s="211"/>
      <c r="AI114" s="211"/>
      <c r="AJ114" s="211"/>
      <c r="AK114" s="211"/>
      <c r="AL114" s="211"/>
      <c r="AM114" s="211"/>
      <c r="AN114" s="211"/>
      <c r="AO114" s="211"/>
      <c r="AP114" s="211"/>
      <c r="AQ114" s="211"/>
      <c r="AR114" s="211"/>
      <c r="AS114" s="213"/>
      <c r="AT114" s="213"/>
      <c r="AU114" s="213"/>
      <c r="AV114" s="213"/>
      <c r="AW114" s="213"/>
      <c r="AX114" s="213"/>
      <c r="AY114" s="213"/>
      <c r="AZ114" s="213"/>
      <c r="BA114" s="213"/>
      <c r="BB114" s="213"/>
      <c r="BC114" s="213"/>
      <c r="BD114" s="213"/>
      <c r="BE114" s="213"/>
      <c r="BF114" s="213"/>
      <c r="BG114" s="213"/>
      <c r="BH114" s="213"/>
      <c r="BI114" s="213"/>
      <c r="BJ114" s="213"/>
      <c r="BK114" s="213"/>
    </row>
    <row r="115" spans="1:63" s="7" customFormat="1" ht="2.25" customHeight="1">
      <c r="A115" s="242"/>
      <c r="B115" s="3"/>
      <c r="C115" s="3"/>
      <c r="D115" s="3"/>
      <c r="J115" s="18"/>
      <c r="K115" s="3"/>
      <c r="L115" s="3"/>
      <c r="M115" s="3"/>
      <c r="N115" s="3"/>
      <c r="O115" s="3"/>
      <c r="P115"/>
      <c r="Q115" s="228"/>
      <c r="R115" s="228"/>
      <c r="S115" s="228"/>
      <c r="T115" s="228"/>
      <c r="U115" s="228"/>
      <c r="V115" s="213"/>
      <c r="W115" s="213"/>
      <c r="X115" s="229"/>
      <c r="Y115" s="213"/>
      <c r="Z115" s="213"/>
      <c r="AA115" s="211"/>
      <c r="AB115" s="211"/>
      <c r="AC115" s="211"/>
      <c r="AD115" s="211"/>
      <c r="AE115" s="211"/>
      <c r="AF115" s="211"/>
      <c r="AG115" s="211"/>
      <c r="AH115" s="211"/>
      <c r="AI115" s="211"/>
      <c r="AJ115" s="211"/>
      <c r="AK115" s="211"/>
      <c r="AL115" s="211"/>
      <c r="AM115" s="211"/>
      <c r="AN115" s="211"/>
      <c r="AO115" s="211"/>
      <c r="AP115" s="211"/>
      <c r="AQ115" s="211"/>
      <c r="AR115" s="211"/>
      <c r="AS115" s="213"/>
      <c r="AT115" s="213"/>
      <c r="AU115" s="213"/>
      <c r="AV115" s="213"/>
      <c r="AW115" s="213"/>
      <c r="AX115" s="213"/>
      <c r="AY115" s="213"/>
      <c r="AZ115" s="213"/>
      <c r="BA115" s="213"/>
      <c r="BB115" s="213"/>
      <c r="BC115" s="213"/>
      <c r="BD115" s="213"/>
      <c r="BE115" s="213"/>
      <c r="BF115" s="213"/>
      <c r="BG115" s="213"/>
      <c r="BH115" s="213"/>
      <c r="BI115" s="213"/>
      <c r="BJ115" s="213"/>
      <c r="BK115" s="213"/>
    </row>
    <row r="116" spans="1:63" s="7" customFormat="1" ht="0.75" customHeight="1">
      <c r="A116" s="242"/>
      <c r="B116" s="3"/>
      <c r="C116" s="3"/>
      <c r="F116" s="70"/>
      <c r="J116" s="18"/>
      <c r="K116" s="3"/>
      <c r="L116" s="3"/>
      <c r="M116" s="3"/>
      <c r="N116" s="3"/>
      <c r="O116" s="3"/>
      <c r="P116"/>
      <c r="Q116" s="228"/>
      <c r="R116" s="228"/>
      <c r="S116" s="228"/>
      <c r="T116" s="228"/>
      <c r="U116" s="228"/>
      <c r="V116" s="213"/>
      <c r="W116" s="213"/>
      <c r="X116" s="229"/>
      <c r="Y116" s="213"/>
      <c r="Z116" s="213"/>
      <c r="AA116" s="211"/>
      <c r="AB116" s="211"/>
      <c r="AC116" s="211"/>
      <c r="AD116" s="211"/>
      <c r="AE116" s="211"/>
      <c r="AF116" s="211"/>
      <c r="AG116" s="211"/>
      <c r="AH116" s="211"/>
      <c r="AI116" s="211"/>
      <c r="AJ116" s="211"/>
      <c r="AK116" s="211"/>
      <c r="AL116" s="211"/>
      <c r="AM116" s="211"/>
      <c r="AN116" s="211"/>
      <c r="AO116" s="211"/>
      <c r="AP116" s="211"/>
      <c r="AQ116" s="211"/>
      <c r="AR116" s="211"/>
      <c r="AS116" s="213"/>
      <c r="AT116" s="213"/>
      <c r="AU116" s="213"/>
      <c r="AV116" s="213"/>
      <c r="AW116" s="213"/>
      <c r="AX116" s="213"/>
      <c r="AY116" s="213"/>
      <c r="AZ116" s="213"/>
      <c r="BA116" s="213"/>
      <c r="BB116" s="213"/>
      <c r="BC116" s="213"/>
      <c r="BD116" s="213"/>
      <c r="BE116" s="213"/>
      <c r="BF116" s="213"/>
      <c r="BG116" s="213"/>
      <c r="BH116" s="213"/>
      <c r="BI116" s="213"/>
      <c r="BJ116" s="213"/>
      <c r="BK116" s="213"/>
    </row>
    <row r="117" spans="1:63" s="7" customFormat="1" ht="0.75" customHeight="1" hidden="1">
      <c r="A117" s="242"/>
      <c r="B117" s="3"/>
      <c r="C117" s="3"/>
      <c r="F117" s="65"/>
      <c r="H117" s="13"/>
      <c r="I117" s="13"/>
      <c r="J117" s="18"/>
      <c r="K117" s="3"/>
      <c r="L117" s="3"/>
      <c r="M117" s="3"/>
      <c r="N117" s="3"/>
      <c r="O117" s="3"/>
      <c r="P117"/>
      <c r="Q117" s="228"/>
      <c r="R117" s="228"/>
      <c r="S117" s="228"/>
      <c r="T117" s="228"/>
      <c r="U117" s="228"/>
      <c r="V117" s="213"/>
      <c r="W117" s="213"/>
      <c r="X117" s="229"/>
      <c r="Y117" s="213"/>
      <c r="Z117" s="213"/>
      <c r="AA117" s="211"/>
      <c r="AB117" s="211"/>
      <c r="AC117" s="211"/>
      <c r="AD117" s="211"/>
      <c r="AE117" s="211"/>
      <c r="AF117" s="211"/>
      <c r="AG117" s="211"/>
      <c r="AH117" s="211"/>
      <c r="AI117" s="211"/>
      <c r="AJ117" s="211"/>
      <c r="AK117" s="211"/>
      <c r="AL117" s="211"/>
      <c r="AM117" s="211"/>
      <c r="AN117" s="211"/>
      <c r="AO117" s="211"/>
      <c r="AP117" s="211"/>
      <c r="AQ117" s="211"/>
      <c r="AR117" s="211"/>
      <c r="AS117" s="213"/>
      <c r="AT117" s="213"/>
      <c r="AU117" s="213"/>
      <c r="AV117" s="213"/>
      <c r="AW117" s="213"/>
      <c r="AX117" s="213"/>
      <c r="AY117" s="213"/>
      <c r="AZ117" s="213"/>
      <c r="BA117" s="213"/>
      <c r="BB117" s="213"/>
      <c r="BC117" s="213"/>
      <c r="BD117" s="213"/>
      <c r="BE117" s="213"/>
      <c r="BF117" s="213"/>
      <c r="BG117" s="213"/>
      <c r="BH117" s="213"/>
      <c r="BI117" s="213"/>
      <c r="BJ117" s="213"/>
      <c r="BK117" s="213"/>
    </row>
    <row r="118" spans="1:63" s="7" customFormat="1" ht="4.5" customHeight="1">
      <c r="A118" s="242"/>
      <c r="B118" s="3"/>
      <c r="C118" s="3"/>
      <c r="F118" s="65"/>
      <c r="J118" s="3"/>
      <c r="K118" s="3"/>
      <c r="L118" s="3"/>
      <c r="M118" s="3"/>
      <c r="N118" s="3"/>
      <c r="O118" s="3"/>
      <c r="P118"/>
      <c r="Q118" s="228"/>
      <c r="R118" s="228"/>
      <c r="S118" s="228"/>
      <c r="T118" s="228"/>
      <c r="U118" s="228"/>
      <c r="V118" s="213"/>
      <c r="W118" s="213"/>
      <c r="X118" s="229"/>
      <c r="Y118" s="213"/>
      <c r="Z118" s="213"/>
      <c r="AA118" s="211"/>
      <c r="AB118" s="211"/>
      <c r="AC118" s="211"/>
      <c r="AD118" s="211"/>
      <c r="AE118" s="211"/>
      <c r="AF118" s="211"/>
      <c r="AG118" s="211"/>
      <c r="AH118" s="211"/>
      <c r="AI118" s="211"/>
      <c r="AJ118" s="211"/>
      <c r="AK118" s="211"/>
      <c r="AL118" s="211"/>
      <c r="AM118" s="211"/>
      <c r="AN118" s="211"/>
      <c r="AO118" s="211"/>
      <c r="AP118" s="211"/>
      <c r="AQ118" s="211"/>
      <c r="AR118" s="211"/>
      <c r="AS118" s="213"/>
      <c r="AT118" s="213"/>
      <c r="AU118" s="213"/>
      <c r="AV118" s="213"/>
      <c r="AW118" s="213"/>
      <c r="AX118" s="213"/>
      <c r="AY118" s="213"/>
      <c r="AZ118" s="213"/>
      <c r="BA118" s="213"/>
      <c r="BB118" s="213"/>
      <c r="BC118" s="213"/>
      <c r="BD118" s="213"/>
      <c r="BE118" s="213"/>
      <c r="BF118" s="213"/>
      <c r="BG118" s="213"/>
      <c r="BH118" s="213"/>
      <c r="BI118" s="213"/>
      <c r="BJ118" s="213"/>
      <c r="BK118" s="213"/>
    </row>
    <row r="119" spans="1:63" s="7" customFormat="1" ht="6" customHeight="1">
      <c r="A119" s="3"/>
      <c r="B119" s="3"/>
      <c r="C119" s="3"/>
      <c r="F119" s="65"/>
      <c r="J119" s="3"/>
      <c r="K119" s="3"/>
      <c r="L119" s="3"/>
      <c r="M119" s="3"/>
      <c r="N119" s="3"/>
      <c r="O119" s="3"/>
      <c r="P119"/>
      <c r="Q119" s="228"/>
      <c r="R119" s="228"/>
      <c r="S119" s="228"/>
      <c r="T119" s="228"/>
      <c r="U119" s="228"/>
      <c r="V119" s="213"/>
      <c r="W119" s="213"/>
      <c r="X119" s="229"/>
      <c r="Y119" s="213"/>
      <c r="Z119" s="213"/>
      <c r="AA119" s="211"/>
      <c r="AB119" s="211"/>
      <c r="AC119" s="211"/>
      <c r="AD119" s="211"/>
      <c r="AE119" s="211"/>
      <c r="AF119" s="211"/>
      <c r="AG119" s="211"/>
      <c r="AH119" s="211"/>
      <c r="AI119" s="211"/>
      <c r="AJ119" s="211"/>
      <c r="AK119" s="211"/>
      <c r="AL119" s="211"/>
      <c r="AM119" s="211"/>
      <c r="AN119" s="211"/>
      <c r="AO119" s="211"/>
      <c r="AP119" s="211"/>
      <c r="AQ119" s="211"/>
      <c r="AR119" s="211"/>
      <c r="AS119" s="213"/>
      <c r="AT119" s="213"/>
      <c r="AU119" s="213"/>
      <c r="AV119" s="213"/>
      <c r="AW119" s="213"/>
      <c r="AX119" s="213"/>
      <c r="AY119" s="213"/>
      <c r="AZ119" s="213"/>
      <c r="BA119" s="213"/>
      <c r="BB119" s="213"/>
      <c r="BC119" s="213"/>
      <c r="BD119" s="213"/>
      <c r="BE119" s="213"/>
      <c r="BF119" s="213"/>
      <c r="BG119" s="213"/>
      <c r="BH119" s="213"/>
      <c r="BI119" s="213"/>
      <c r="BJ119" s="213"/>
      <c r="BK119" s="213"/>
    </row>
    <row r="120" spans="1:63" s="7" customFormat="1" ht="5.25" customHeight="1">
      <c r="A120" s="235" t="s">
        <v>51</v>
      </c>
      <c r="B120" s="44"/>
      <c r="C120" s="44"/>
      <c r="D120" s="45"/>
      <c r="E120" s="68"/>
      <c r="F120" s="47"/>
      <c r="G120" s="47"/>
      <c r="H120" s="47"/>
      <c r="I120" s="48"/>
      <c r="J120" s="44"/>
      <c r="K120" s="44"/>
      <c r="L120" s="3"/>
      <c r="M120" s="3"/>
      <c r="N120" s="3"/>
      <c r="O120" s="3"/>
      <c r="P120"/>
      <c r="Q120" s="228"/>
      <c r="R120" s="228"/>
      <c r="S120" s="228"/>
      <c r="T120" s="228"/>
      <c r="U120" s="228"/>
      <c r="V120" s="213"/>
      <c r="W120" s="213"/>
      <c r="X120" s="213"/>
      <c r="Y120" s="213"/>
      <c r="Z120" s="213"/>
      <c r="AA120" s="211"/>
      <c r="AB120" s="211"/>
      <c r="AC120" s="211"/>
      <c r="AD120" s="211"/>
      <c r="AE120" s="211"/>
      <c r="AF120" s="211"/>
      <c r="AG120" s="211"/>
      <c r="AH120" s="211"/>
      <c r="AI120" s="211"/>
      <c r="AJ120" s="211"/>
      <c r="AK120" s="211"/>
      <c r="AL120" s="211"/>
      <c r="AM120" s="211"/>
      <c r="AN120" s="211"/>
      <c r="AO120" s="211"/>
      <c r="AP120" s="211"/>
      <c r="AQ120" s="211"/>
      <c r="AR120" s="211"/>
      <c r="AS120" s="213"/>
      <c r="AT120" s="213"/>
      <c r="AU120" s="213"/>
      <c r="AV120" s="213"/>
      <c r="AW120" s="213"/>
      <c r="AX120" s="213"/>
      <c r="AY120" s="213"/>
      <c r="AZ120" s="213"/>
      <c r="BA120" s="213"/>
      <c r="BB120" s="213"/>
      <c r="BC120" s="213"/>
      <c r="BD120" s="213"/>
      <c r="BE120" s="213"/>
      <c r="BF120" s="213"/>
      <c r="BG120" s="213"/>
      <c r="BH120" s="213"/>
      <c r="BI120" s="213"/>
      <c r="BJ120" s="213"/>
      <c r="BK120" s="213"/>
    </row>
    <row r="121" spans="1:63" s="7" customFormat="1" ht="4.5" customHeight="1">
      <c r="A121" s="235"/>
      <c r="B121" s="3"/>
      <c r="C121" s="3"/>
      <c r="F121" s="65"/>
      <c r="J121" s="3"/>
      <c r="K121" s="3"/>
      <c r="L121"/>
      <c r="M121"/>
      <c r="N121" s="3"/>
      <c r="O121" s="3"/>
      <c r="P121"/>
      <c r="Q121" s="228"/>
      <c r="R121" s="228"/>
      <c r="S121" s="228"/>
      <c r="T121" s="228"/>
      <c r="U121" s="228"/>
      <c r="V121" s="213"/>
      <c r="W121" s="213"/>
      <c r="X121" s="213"/>
      <c r="Y121" s="213"/>
      <c r="Z121" s="213"/>
      <c r="AA121" s="211"/>
      <c r="AB121" s="211"/>
      <c r="AC121" s="211"/>
      <c r="AD121" s="211"/>
      <c r="AE121" s="211"/>
      <c r="AF121" s="211"/>
      <c r="AG121" s="211"/>
      <c r="AH121" s="211"/>
      <c r="AI121" s="211"/>
      <c r="AJ121" s="211"/>
      <c r="AK121" s="211"/>
      <c r="AL121" s="211"/>
      <c r="AM121" s="211"/>
      <c r="AN121" s="211"/>
      <c r="AO121" s="211"/>
      <c r="AP121" s="211"/>
      <c r="AQ121" s="211"/>
      <c r="AR121" s="211"/>
      <c r="AS121" s="213"/>
      <c r="AT121" s="213"/>
      <c r="AU121" s="213"/>
      <c r="AV121" s="213"/>
      <c r="AW121" s="213"/>
      <c r="AX121" s="213"/>
      <c r="AY121" s="213"/>
      <c r="AZ121" s="213"/>
      <c r="BA121" s="213"/>
      <c r="BB121" s="213"/>
      <c r="BC121" s="213"/>
      <c r="BD121" s="213"/>
      <c r="BE121" s="213"/>
      <c r="BF121" s="213"/>
      <c r="BG121" s="213"/>
      <c r="BH121" s="213"/>
      <c r="BI121" s="213"/>
      <c r="BJ121" s="213"/>
      <c r="BK121" s="213"/>
    </row>
    <row r="122" spans="1:63" s="7" customFormat="1" ht="15" customHeight="1">
      <c r="A122" s="235"/>
      <c r="B122" s="24"/>
      <c r="C122" s="3"/>
      <c r="D122" s="36" t="s">
        <v>238</v>
      </c>
      <c r="E122" s="66">
        <f>IF(C45="","",C45)</f>
        <v>123</v>
      </c>
      <c r="F122" s="25" t="str">
        <f>IF(E122="","",E45)</f>
        <v>94 PR</v>
      </c>
      <c r="G122" s="234" t="str">
        <f>IF(F122="","",F45)</f>
        <v>112 to 134</v>
      </c>
      <c r="H122" s="234"/>
      <c r="I122" s="26" t="str">
        <f>IF(E122="","",H45)</f>
        <v>High Average to Very Superior</v>
      </c>
      <c r="J122" s="3"/>
      <c r="K122" s="3"/>
      <c r="L122"/>
      <c r="M122"/>
      <c r="N122" s="3"/>
      <c r="O122" s="3"/>
      <c r="P122"/>
      <c r="Q122" s="228"/>
      <c r="R122" s="228"/>
      <c r="S122" s="228"/>
      <c r="T122" s="228"/>
      <c r="U122" s="228"/>
      <c r="V122" s="213"/>
      <c r="W122" s="213"/>
      <c r="X122" s="213"/>
      <c r="Y122" s="213"/>
      <c r="Z122" s="213"/>
      <c r="AA122" s="211"/>
      <c r="AB122" s="211"/>
      <c r="AC122" s="211"/>
      <c r="AD122" s="211"/>
      <c r="AE122" s="211"/>
      <c r="AF122" s="211"/>
      <c r="AG122" s="211"/>
      <c r="AH122" s="211"/>
      <c r="AI122" s="211"/>
      <c r="AJ122" s="211"/>
      <c r="AK122" s="211"/>
      <c r="AL122" s="211"/>
      <c r="AM122" s="211"/>
      <c r="AN122" s="211"/>
      <c r="AO122" s="211"/>
      <c r="AP122" s="211"/>
      <c r="AQ122" s="211"/>
      <c r="AR122" s="211"/>
      <c r="AS122" s="213"/>
      <c r="AT122" s="213"/>
      <c r="AU122" s="213"/>
      <c r="AV122" s="213"/>
      <c r="AW122" s="213"/>
      <c r="AX122" s="213"/>
      <c r="AY122" s="213"/>
      <c r="AZ122" s="213"/>
      <c r="BA122" s="213"/>
      <c r="BB122" s="213"/>
      <c r="BC122" s="213"/>
      <c r="BD122" s="213"/>
      <c r="BE122" s="213"/>
      <c r="BF122" s="213"/>
      <c r="BG122" s="213"/>
      <c r="BH122" s="213"/>
      <c r="BI122" s="213"/>
      <c r="BJ122" s="213"/>
      <c r="BK122" s="213"/>
    </row>
    <row r="123" spans="1:63" s="7" customFormat="1" ht="2.25" customHeight="1">
      <c r="A123" s="235"/>
      <c r="D123" s="3"/>
      <c r="J123" s="3"/>
      <c r="K123" s="3"/>
      <c r="L123"/>
      <c r="M123"/>
      <c r="N123" s="3"/>
      <c r="O123" s="3"/>
      <c r="P123"/>
      <c r="Q123" s="228"/>
      <c r="R123" s="228"/>
      <c r="S123" s="228"/>
      <c r="T123" s="228"/>
      <c r="U123" s="228"/>
      <c r="V123" s="213"/>
      <c r="W123" s="213"/>
      <c r="X123" s="213"/>
      <c r="Y123" s="213"/>
      <c r="Z123" s="213"/>
      <c r="AA123" s="211"/>
      <c r="AB123" s="211"/>
      <c r="AC123" s="211"/>
      <c r="AD123" s="211"/>
      <c r="AE123" s="211"/>
      <c r="AF123" s="211"/>
      <c r="AG123" s="211"/>
      <c r="AH123" s="211"/>
      <c r="AI123" s="211"/>
      <c r="AJ123" s="211"/>
      <c r="AK123" s="211"/>
      <c r="AL123" s="211"/>
      <c r="AM123" s="211"/>
      <c r="AN123" s="211"/>
      <c r="AO123" s="211"/>
      <c r="AP123" s="211"/>
      <c r="AQ123" s="211"/>
      <c r="AR123" s="211"/>
      <c r="AS123" s="213"/>
      <c r="AT123" s="213"/>
      <c r="AU123" s="213"/>
      <c r="AV123" s="213"/>
      <c r="AW123" s="213"/>
      <c r="AX123" s="213"/>
      <c r="AY123" s="213"/>
      <c r="AZ123" s="213"/>
      <c r="BA123" s="213"/>
      <c r="BB123" s="213"/>
      <c r="BC123" s="213"/>
      <c r="BD123" s="213"/>
      <c r="BE123" s="213"/>
      <c r="BF123" s="213"/>
      <c r="BG123" s="213"/>
      <c r="BH123" s="213"/>
      <c r="BI123" s="213"/>
      <c r="BJ123" s="213"/>
      <c r="BK123" s="213"/>
    </row>
    <row r="124" spans="1:63" s="7" customFormat="1" ht="15" customHeight="1">
      <c r="A124" s="235"/>
      <c r="D124" s="23" t="s">
        <v>250</v>
      </c>
      <c r="E124" s="13">
        <f>IF(E9="","",E9)</f>
        <v>122</v>
      </c>
      <c r="F124" s="25" t="str">
        <f>IF(E124="","",LOOKUP(E124,conversion)&amp;" PR")</f>
        <v>93 PR</v>
      </c>
      <c r="G124" s="234" t="str">
        <f>IF(E124="","",-12+E124&amp;" to "&amp;E124+12)</f>
        <v>110 to 134</v>
      </c>
      <c r="H124" s="234"/>
      <c r="I124" s="26" t="str">
        <f>IF(E124="","",LOOKUP((-12+E124),$B$554:$H$555)&amp;" to "&amp;LOOKUP((12+E124),$B$554:$H$555))</f>
        <v>High Average to Very Superior</v>
      </c>
      <c r="J124" s="3"/>
      <c r="K124" s="3"/>
      <c r="L124"/>
      <c r="M124"/>
      <c r="N124" s="3"/>
      <c r="O124" s="3"/>
      <c r="P124"/>
      <c r="Q124" s="228"/>
      <c r="R124" s="228"/>
      <c r="S124" s="228"/>
      <c r="T124" s="228"/>
      <c r="U124" s="228"/>
      <c r="V124" s="213"/>
      <c r="W124" s="213"/>
      <c r="X124" s="213"/>
      <c r="Y124" s="213"/>
      <c r="Z124" s="213"/>
      <c r="AA124" s="211"/>
      <c r="AB124" s="211"/>
      <c r="AC124" s="211"/>
      <c r="AD124" s="211"/>
      <c r="AE124" s="211"/>
      <c r="AF124" s="211"/>
      <c r="AG124" s="211"/>
      <c r="AH124" s="211"/>
      <c r="AI124" s="211"/>
      <c r="AJ124" s="211"/>
      <c r="AK124" s="211"/>
      <c r="AL124" s="211"/>
      <c r="AM124" s="211"/>
      <c r="AN124" s="211"/>
      <c r="AO124" s="211"/>
      <c r="AP124" s="211"/>
      <c r="AQ124" s="211"/>
      <c r="AR124" s="211"/>
      <c r="AS124" s="213"/>
      <c r="AT124" s="213"/>
      <c r="AU124" s="213"/>
      <c r="AV124" s="213"/>
      <c r="AW124" s="213"/>
      <c r="AX124" s="213"/>
      <c r="AY124" s="213"/>
      <c r="AZ124" s="213"/>
      <c r="BA124" s="213"/>
      <c r="BB124" s="213"/>
      <c r="BC124" s="213"/>
      <c r="BD124" s="213"/>
      <c r="BE124" s="213"/>
      <c r="BF124" s="213"/>
      <c r="BG124" s="213"/>
      <c r="BH124" s="213"/>
      <c r="BI124" s="213"/>
      <c r="BJ124" s="213"/>
      <c r="BK124" s="213"/>
    </row>
    <row r="125" spans="1:63" s="7" customFormat="1" ht="15" customHeight="1">
      <c r="A125" s="235"/>
      <c r="D125" s="23" t="s">
        <v>251</v>
      </c>
      <c r="E125" s="13">
        <f>IF(I9="","",I9)</f>
        <v>115</v>
      </c>
      <c r="F125" s="25" t="str">
        <f>IF(E125="","",LOOKUP(E125,conversion)&amp;" PR")</f>
        <v>84 PR</v>
      </c>
      <c r="G125" s="234" t="str">
        <f>IF(E125="","",-14+E125&amp;" to "&amp;E125+14)</f>
        <v>101 to 129</v>
      </c>
      <c r="H125" s="234"/>
      <c r="I125" s="26" t="str">
        <f>IF(E125="","",LOOKUP((-14+E125),$B$554:$H$555)&amp;" to "&amp;LOOKUP((14+E125),$B$554:$H$555))</f>
        <v>Average to Superior</v>
      </c>
      <c r="J125" s="3"/>
      <c r="K125" s="3"/>
      <c r="L125"/>
      <c r="M125"/>
      <c r="N125" s="3"/>
      <c r="O125" s="3"/>
      <c r="P125"/>
      <c r="Q125" s="228"/>
      <c r="R125" s="228"/>
      <c r="S125" s="228"/>
      <c r="T125" s="228"/>
      <c r="U125" s="228"/>
      <c r="V125" s="213"/>
      <c r="W125" s="213"/>
      <c r="X125" s="213"/>
      <c r="Y125" s="213"/>
      <c r="Z125" s="213"/>
      <c r="AA125" s="211"/>
      <c r="AB125" s="211"/>
      <c r="AC125" s="211"/>
      <c r="AD125" s="211"/>
      <c r="AE125" s="211"/>
      <c r="AF125" s="211"/>
      <c r="AG125" s="211"/>
      <c r="AH125" s="211"/>
      <c r="AI125" s="211"/>
      <c r="AJ125" s="211"/>
      <c r="AK125" s="211"/>
      <c r="AL125" s="211"/>
      <c r="AM125" s="211"/>
      <c r="AN125" s="211"/>
      <c r="AO125" s="211"/>
      <c r="AP125" s="211"/>
      <c r="AQ125" s="211"/>
      <c r="AR125" s="211"/>
      <c r="AS125" s="213"/>
      <c r="AT125" s="213"/>
      <c r="AU125" s="213"/>
      <c r="AV125" s="213"/>
      <c r="AW125" s="213"/>
      <c r="AX125" s="213"/>
      <c r="AY125" s="213"/>
      <c r="AZ125" s="213"/>
      <c r="BA125" s="213"/>
      <c r="BB125" s="213"/>
      <c r="BC125" s="213"/>
      <c r="BD125" s="213"/>
      <c r="BE125" s="213"/>
      <c r="BF125" s="213"/>
      <c r="BG125" s="213"/>
      <c r="BH125" s="213"/>
      <c r="BI125" s="213"/>
      <c r="BJ125" s="213"/>
      <c r="BK125" s="213"/>
    </row>
    <row r="126" spans="1:63" s="7" customFormat="1" ht="3.75" customHeight="1">
      <c r="A126" s="235"/>
      <c r="C126" s="3"/>
      <c r="D126"/>
      <c r="E126" s="65"/>
      <c r="F126" s="65"/>
      <c r="G126" s="65"/>
      <c r="H126" s="65"/>
      <c r="I126" s="65"/>
      <c r="J126" s="18"/>
      <c r="K126" s="3"/>
      <c r="L126"/>
      <c r="M126"/>
      <c r="N126" s="3"/>
      <c r="O126" s="3"/>
      <c r="P126"/>
      <c r="Q126" s="228"/>
      <c r="R126" s="228"/>
      <c r="S126" s="228"/>
      <c r="T126" s="228"/>
      <c r="U126" s="228"/>
      <c r="V126" s="213"/>
      <c r="W126" s="213"/>
      <c r="X126" s="213"/>
      <c r="Y126" s="213"/>
      <c r="Z126" s="213"/>
      <c r="AA126" s="211"/>
      <c r="AB126" s="211"/>
      <c r="AC126" s="211"/>
      <c r="AD126" s="211"/>
      <c r="AE126" s="211"/>
      <c r="AF126" s="211"/>
      <c r="AG126" s="211"/>
      <c r="AH126" s="211"/>
      <c r="AI126" s="211"/>
      <c r="AJ126" s="211"/>
      <c r="AK126" s="211"/>
      <c r="AL126" s="211"/>
      <c r="AM126" s="211"/>
      <c r="AN126" s="211"/>
      <c r="AO126" s="211"/>
      <c r="AP126" s="211"/>
      <c r="AQ126" s="211"/>
      <c r="AR126" s="211"/>
      <c r="AS126" s="213"/>
      <c r="AT126" s="213"/>
      <c r="AU126" s="213"/>
      <c r="AV126" s="213"/>
      <c r="AW126" s="213"/>
      <c r="AX126" s="213"/>
      <c r="AY126" s="213"/>
      <c r="AZ126" s="213"/>
      <c r="BA126" s="213"/>
      <c r="BB126" s="213"/>
      <c r="BC126" s="213"/>
      <c r="BD126" s="213"/>
      <c r="BE126" s="213"/>
      <c r="BF126" s="213"/>
      <c r="BG126" s="213"/>
      <c r="BH126" s="213"/>
      <c r="BI126" s="213"/>
      <c r="BJ126" s="213"/>
      <c r="BK126" s="213"/>
    </row>
    <row r="127" spans="1:63" s="7" customFormat="1" ht="5.25" customHeight="1">
      <c r="A127" s="235"/>
      <c r="B127" s="44"/>
      <c r="C127" s="44"/>
      <c r="D127" s="45"/>
      <c r="E127" s="68"/>
      <c r="F127" s="47"/>
      <c r="G127" s="47"/>
      <c r="H127" s="47"/>
      <c r="I127" s="48"/>
      <c r="J127" s="44"/>
      <c r="K127" s="44"/>
      <c r="L127"/>
      <c r="M127"/>
      <c r="O127" s="3"/>
      <c r="P127"/>
      <c r="Q127" s="228"/>
      <c r="R127" s="228"/>
      <c r="S127" s="228"/>
      <c r="T127" s="228"/>
      <c r="U127" s="228"/>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row>
    <row r="128" spans="1:63" s="7" customFormat="1" ht="4.5" customHeight="1">
      <c r="A128" s="235"/>
      <c r="B128" s="3"/>
      <c r="C128" s="3"/>
      <c r="F128" s="65"/>
      <c r="J128" s="3"/>
      <c r="K128" s="3"/>
      <c r="L128"/>
      <c r="M128"/>
      <c r="O128" s="3"/>
      <c r="P128"/>
      <c r="Q128" s="228"/>
      <c r="R128" s="228"/>
      <c r="S128" s="228"/>
      <c r="T128" s="228"/>
      <c r="U128" s="228"/>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row>
    <row r="129" spans="1:63" s="7" customFormat="1" ht="12.75">
      <c r="A129" s="235"/>
      <c r="B129" s="24"/>
      <c r="C129" s="3"/>
      <c r="D129" s="36" t="s">
        <v>261</v>
      </c>
      <c r="E129" s="66">
        <f>IF(C47="","",C47)</f>
        <v>93</v>
      </c>
      <c r="F129" s="25" t="str">
        <f>IF(E129="","",E47)</f>
        <v>32 PR</v>
      </c>
      <c r="G129" s="234" t="str">
        <f>IF(F129="","",F47)</f>
        <v>84 to 102</v>
      </c>
      <c r="H129" s="234"/>
      <c r="I129" s="26" t="str">
        <f>IF(E129="","",H47)</f>
        <v>Low Average to Average</v>
      </c>
      <c r="J129" s="3"/>
      <c r="K129" s="3"/>
      <c r="L129"/>
      <c r="M129"/>
      <c r="O129" s="3"/>
      <c r="P129"/>
      <c r="Q129" s="228"/>
      <c r="R129" s="228"/>
      <c r="S129" s="228"/>
      <c r="T129" s="228"/>
      <c r="U129" s="228"/>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row>
    <row r="130" spans="1:63" s="7" customFormat="1" ht="2.25" customHeight="1">
      <c r="A130" s="235"/>
      <c r="D130" s="3"/>
      <c r="J130" s="3"/>
      <c r="K130" s="3"/>
      <c r="L130"/>
      <c r="M130"/>
      <c r="O130" s="3"/>
      <c r="P130"/>
      <c r="Q130" s="228"/>
      <c r="R130" s="228"/>
      <c r="S130" s="228"/>
      <c r="T130" s="228"/>
      <c r="U130" s="228"/>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row>
    <row r="131" spans="1:63" s="7" customFormat="1" ht="12.75">
      <c r="A131" s="235"/>
      <c r="D131" s="23" t="s">
        <v>246</v>
      </c>
      <c r="E131" s="13">
        <f>IF(H9="","",H9)</f>
        <v>80</v>
      </c>
      <c r="F131" s="25" t="str">
        <f>IF(E131="","",LOOKUP(E131,conversion)&amp;" PR")</f>
        <v>9 PR</v>
      </c>
      <c r="G131" s="234" t="str">
        <f>IF(E131="","",-11+E131&amp;" to "&amp;E131+11)</f>
        <v>69 to 91</v>
      </c>
      <c r="H131" s="234"/>
      <c r="I131" s="26" t="str">
        <f>IF(E131="","",LOOKUP((-11+E131),$B$554:$H$555)&amp;" to "&amp;LOOKUP((11+E131),$B$554:$H$555))</f>
        <v>Very Low to Average</v>
      </c>
      <c r="J131" s="3"/>
      <c r="K131" s="3"/>
      <c r="L131"/>
      <c r="M131"/>
      <c r="O131" s="3"/>
      <c r="P131"/>
      <c r="Q131" s="228"/>
      <c r="R131" s="228"/>
      <c r="S131" s="228"/>
      <c r="T131" s="228"/>
      <c r="U131" s="228"/>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row>
    <row r="132" spans="1:63" s="7" customFormat="1" ht="12.75">
      <c r="A132" s="235"/>
      <c r="D132" s="23" t="s">
        <v>263</v>
      </c>
      <c r="E132" s="13">
        <f>IF(J9="","",J9)</f>
        <v>115</v>
      </c>
      <c r="F132" s="25" t="str">
        <f>IF(E132="","",LOOKUP(E132,conversion)&amp;" PR")</f>
        <v>84 PR</v>
      </c>
      <c r="G132" s="234" t="str">
        <f>IF(E132="","",-9+E132&amp;" to "&amp;E132+9)</f>
        <v>106 to 124</v>
      </c>
      <c r="H132" s="234"/>
      <c r="I132" s="26" t="str">
        <f>IF(E132="","",LOOKUP((-9+E132),$B$554:$H$555)&amp;" to "&amp;LOOKUP((9+E132),$B$554:$H$555))</f>
        <v>Average to Superior</v>
      </c>
      <c r="J132" s="3"/>
      <c r="K132" s="3"/>
      <c r="L132"/>
      <c r="M132"/>
      <c r="O132" s="3"/>
      <c r="P132"/>
      <c r="Q132" s="228"/>
      <c r="R132" s="228"/>
      <c r="S132" s="228"/>
      <c r="T132" s="228"/>
      <c r="U132" s="228"/>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row>
    <row r="133" spans="1:63" s="7" customFormat="1" ht="5.25" customHeight="1">
      <c r="A133" s="235"/>
      <c r="C133" s="3"/>
      <c r="D133"/>
      <c r="E133" s="65"/>
      <c r="F133" s="65"/>
      <c r="G133" s="65"/>
      <c r="H133" s="65"/>
      <c r="I133" s="65"/>
      <c r="J133" s="18"/>
      <c r="K133" s="3"/>
      <c r="L133"/>
      <c r="M133"/>
      <c r="O133" s="3"/>
      <c r="P133"/>
      <c r="Q133" s="228"/>
      <c r="R133" s="228"/>
      <c r="S133" s="228"/>
      <c r="T133" s="228"/>
      <c r="U133" s="228"/>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row>
    <row r="134" spans="1:63" s="7" customFormat="1" ht="5.25" customHeight="1">
      <c r="A134" s="235"/>
      <c r="B134" s="44"/>
      <c r="C134" s="44"/>
      <c r="D134" s="45"/>
      <c r="E134" s="68"/>
      <c r="F134" s="47"/>
      <c r="G134" s="47"/>
      <c r="H134" s="47"/>
      <c r="I134" s="48"/>
      <c r="J134" s="44"/>
      <c r="K134" s="44"/>
      <c r="L134"/>
      <c r="M134"/>
      <c r="O134" s="3"/>
      <c r="P134"/>
      <c r="Q134" s="228"/>
      <c r="R134" s="228"/>
      <c r="S134" s="228"/>
      <c r="T134" s="228"/>
      <c r="U134" s="228"/>
      <c r="V134" s="213"/>
      <c r="W134" s="213"/>
      <c r="X134" s="213"/>
      <c r="Y134" s="213"/>
      <c r="Z134" s="230"/>
      <c r="AA134" s="230"/>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row>
    <row r="135" spans="1:63" s="7" customFormat="1" ht="6" customHeight="1">
      <c r="A135" s="235"/>
      <c r="B135" s="3"/>
      <c r="C135" s="3"/>
      <c r="F135" s="65"/>
      <c r="J135" s="3"/>
      <c r="K135" s="3"/>
      <c r="L135"/>
      <c r="M135"/>
      <c r="O135" s="3"/>
      <c r="P135"/>
      <c r="Q135" s="228"/>
      <c r="R135" s="228"/>
      <c r="S135" s="228"/>
      <c r="T135" s="228"/>
      <c r="U135" s="228"/>
      <c r="V135" s="213"/>
      <c r="W135" s="213"/>
      <c r="X135" s="213"/>
      <c r="Y135" s="213"/>
      <c r="Z135" s="213"/>
      <c r="AA135" s="230"/>
      <c r="AB135" s="230"/>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row>
    <row r="136" spans="1:29" ht="12.75">
      <c r="A136" s="235"/>
      <c r="B136" s="24"/>
      <c r="D136" s="36" t="s">
        <v>262</v>
      </c>
      <c r="E136" s="66">
        <f>IF(C48="","",C48)</f>
        <v>88</v>
      </c>
      <c r="F136" s="25" t="str">
        <f>IF(E136="","",E48)</f>
        <v>21 PR</v>
      </c>
      <c r="G136" s="234" t="str">
        <f>IF(F136="","",F48)</f>
        <v>80 to 96</v>
      </c>
      <c r="H136" s="234"/>
      <c r="I136" s="26" t="str">
        <f>IF(E136="","",H48)</f>
        <v>Low Average to Average</v>
      </c>
      <c r="L136"/>
      <c r="M136"/>
      <c r="P136"/>
      <c r="Q136" s="228"/>
      <c r="R136" s="228"/>
      <c r="S136" s="228"/>
      <c r="T136" s="228"/>
      <c r="U136" s="228"/>
      <c r="V136" s="211"/>
      <c r="Z136" s="212"/>
      <c r="AB136" s="211"/>
      <c r="AC136" s="212"/>
    </row>
    <row r="137" spans="1:29" ht="5.25" customHeight="1">
      <c r="A137" s="235"/>
      <c r="B137" s="7"/>
      <c r="C137" s="7"/>
      <c r="E137" s="7"/>
      <c r="F137" s="7"/>
      <c r="G137" s="7"/>
      <c r="H137" s="7"/>
      <c r="I137" s="7"/>
      <c r="L137"/>
      <c r="M137"/>
      <c r="P137"/>
      <c r="Q137" s="228"/>
      <c r="R137" s="228"/>
      <c r="S137" s="228"/>
      <c r="T137" s="228"/>
      <c r="U137" s="228"/>
      <c r="V137" s="211"/>
      <c r="Z137" s="212"/>
      <c r="AB137" s="211"/>
      <c r="AC137" s="212"/>
    </row>
    <row r="138" spans="1:29" ht="12.75">
      <c r="A138" s="235"/>
      <c r="B138" s="7"/>
      <c r="C138" s="7"/>
      <c r="D138" s="23" t="s">
        <v>246</v>
      </c>
      <c r="E138" s="13">
        <f>IF(H9="","",H9)</f>
        <v>80</v>
      </c>
      <c r="F138" s="25" t="str">
        <f>IF(E138="","",LOOKUP(E138,conversion)&amp;" PR")</f>
        <v>9 PR</v>
      </c>
      <c r="G138" s="234" t="str">
        <f>IF(E138="","",-11+E138&amp;" to "&amp;E138+11)</f>
        <v>69 to 91</v>
      </c>
      <c r="H138" s="234"/>
      <c r="I138" s="26" t="str">
        <f>IF(E138="","",LOOKUP((-11+E138),$B$554:$H$555)&amp;" to "&amp;LOOKUP((11+E138),$B$554:$H$555))</f>
        <v>Very Low to Average</v>
      </c>
      <c r="L138"/>
      <c r="M138"/>
      <c r="P138"/>
      <c r="Q138" s="228"/>
      <c r="R138" s="228"/>
      <c r="S138" s="228"/>
      <c r="T138" s="228"/>
      <c r="U138" s="228"/>
      <c r="V138" s="211"/>
      <c r="Z138" s="212"/>
      <c r="AB138" s="211"/>
      <c r="AC138" s="212"/>
    </row>
    <row r="139" spans="1:21" ht="12.75">
      <c r="A139" s="235"/>
      <c r="B139" s="7"/>
      <c r="C139" s="7"/>
      <c r="D139" s="23" t="s">
        <v>247</v>
      </c>
      <c r="E139" s="13">
        <f>IF(J9="","",J9)</f>
        <v>115</v>
      </c>
      <c r="F139" s="25" t="str">
        <f>IF(E139="","",LOOKUP(E139,conversion)&amp;" PR")</f>
        <v>84 PR</v>
      </c>
      <c r="G139" s="234" t="str">
        <f>IF(E139="","",-9+E139&amp;" to "&amp;E139+9)</f>
        <v>106 to 124</v>
      </c>
      <c r="H139" s="234"/>
      <c r="I139" s="26" t="str">
        <f>IF(E139="","",LOOKUP((-9+E139),$B$554:$H$555)&amp;" to "&amp;LOOKUP((9+E139),$B$554:$H$555))</f>
        <v>Average to Superior</v>
      </c>
      <c r="L139"/>
      <c r="M139"/>
      <c r="P139"/>
      <c r="Q139" s="228"/>
      <c r="R139" s="228"/>
      <c r="S139" s="228"/>
      <c r="T139" s="228"/>
      <c r="U139" s="228"/>
    </row>
    <row r="140" spans="1:21" ht="12.75">
      <c r="A140" s="235"/>
      <c r="B140" s="7"/>
      <c r="C140" s="7"/>
      <c r="D140" s="23" t="s">
        <v>265</v>
      </c>
      <c r="E140" s="13">
        <f>IF(E13="","",E13)</f>
        <v>101</v>
      </c>
      <c r="F140" s="25" t="str">
        <f>IF(E140="","",LOOKUP(E140,conversion)&amp;" PR")</f>
        <v>53 PR</v>
      </c>
      <c r="G140" s="234" t="str">
        <f>IF(E140="","",-12+E140&amp;" to "&amp;E140+12)</f>
        <v>89 to 113</v>
      </c>
      <c r="H140" s="234"/>
      <c r="I140" s="26" t="str">
        <f>IF(E140="","",LOOKUP((-12+E140),$B$554:$H$555)&amp;" to "&amp;LOOKUP((12+E140),$B$554:$H$555))</f>
        <v>Low Average to High Average</v>
      </c>
      <c r="L140"/>
      <c r="M140"/>
      <c r="P140"/>
      <c r="Q140" s="228"/>
      <c r="R140" s="228"/>
      <c r="S140" s="228"/>
      <c r="T140" s="228"/>
      <c r="U140" s="228"/>
    </row>
    <row r="141" spans="1:21" ht="12.75">
      <c r="A141" s="235"/>
      <c r="B141" s="7"/>
      <c r="C141" s="7"/>
      <c r="D141" s="23" t="s">
        <v>255</v>
      </c>
      <c r="E141" s="13">
        <f>IF(K13="","",K13)</f>
        <v>79</v>
      </c>
      <c r="F141" s="25" t="str">
        <f>IF(E141="","",LOOKUP(E141,conversion)&amp;" PR")</f>
        <v>8 PR</v>
      </c>
      <c r="G141" s="234" t="str">
        <f>IF(E141="","",-5+E141&amp;" to "&amp;E141+5)</f>
        <v>74 to 84</v>
      </c>
      <c r="H141" s="234"/>
      <c r="I141" s="26" t="str">
        <f>IF(E141="","",LOOKUP((-5+E141),$B$554:$H$555)&amp;" to "&amp;LOOKUP((5+E141),$B$554:$H$555))</f>
        <v>Low to Low Average</v>
      </c>
      <c r="L141"/>
      <c r="M141"/>
      <c r="P141"/>
      <c r="Q141" s="228"/>
      <c r="R141" s="228"/>
      <c r="S141" s="228"/>
      <c r="T141" s="228"/>
      <c r="U141" s="228"/>
    </row>
    <row r="142" spans="1:21" ht="3.75" customHeight="1">
      <c r="A142" s="235"/>
      <c r="B142" s="7"/>
      <c r="C142" s="7"/>
      <c r="D142" s="23"/>
      <c r="E142" s="13"/>
      <c r="F142" s="25"/>
      <c r="G142" s="25"/>
      <c r="H142" s="25"/>
      <c r="I142" s="26"/>
      <c r="L142"/>
      <c r="M142"/>
      <c r="P142"/>
      <c r="Q142" s="228"/>
      <c r="R142" s="228"/>
      <c r="S142" s="228"/>
      <c r="T142" s="228"/>
      <c r="U142" s="228"/>
    </row>
    <row r="143" spans="1:21" ht="5.25" customHeight="1">
      <c r="A143" s="235"/>
      <c r="B143" s="44"/>
      <c r="C143" s="44"/>
      <c r="D143" s="45"/>
      <c r="E143" s="68"/>
      <c r="F143" s="47"/>
      <c r="G143" s="47"/>
      <c r="H143" s="47"/>
      <c r="I143" s="48"/>
      <c r="J143" s="44"/>
      <c r="K143" s="44"/>
      <c r="L143"/>
      <c r="M143"/>
      <c r="P143"/>
      <c r="Q143" s="228"/>
      <c r="R143" s="228"/>
      <c r="S143" s="228"/>
      <c r="T143" s="228"/>
      <c r="U143" s="228"/>
    </row>
    <row r="144" spans="1:21" ht="5.25" customHeight="1">
      <c r="A144" s="235"/>
      <c r="D144" s="7"/>
      <c r="E144" s="7"/>
      <c r="F144" s="65"/>
      <c r="G144" s="7"/>
      <c r="H144" s="7"/>
      <c r="I144" s="7"/>
      <c r="L144"/>
      <c r="M144"/>
      <c r="P144"/>
      <c r="Q144" s="228"/>
      <c r="R144" s="228"/>
      <c r="S144" s="228"/>
      <c r="T144" s="228"/>
      <c r="U144" s="228"/>
    </row>
    <row r="145" spans="1:21" ht="12.75">
      <c r="A145" s="235"/>
      <c r="B145" s="24"/>
      <c r="D145" s="36" t="s">
        <v>266</v>
      </c>
      <c r="E145" s="66">
        <f>IF(C49="","",C49)</f>
        <v>82</v>
      </c>
      <c r="F145" s="25" t="str">
        <f>IF(E145="","",E49)</f>
        <v>12 PR</v>
      </c>
      <c r="G145" s="234" t="str">
        <f>IF(F145="","",F49)</f>
        <v>77 to 87</v>
      </c>
      <c r="H145" s="234"/>
      <c r="I145" s="26" t="str">
        <f>IF(E145="","",H49)</f>
        <v>Low to Low Average</v>
      </c>
      <c r="L145"/>
      <c r="M145"/>
      <c r="P145"/>
      <c r="Q145" s="228"/>
      <c r="R145" s="228"/>
      <c r="S145" s="228"/>
      <c r="T145" s="228"/>
      <c r="U145" s="228"/>
    </row>
    <row r="146" spans="1:21" ht="5.25" customHeight="1">
      <c r="A146" s="235"/>
      <c r="B146" s="7"/>
      <c r="C146" s="7"/>
      <c r="E146" s="7"/>
      <c r="F146" s="7"/>
      <c r="G146" s="7"/>
      <c r="H146" s="7"/>
      <c r="I146" s="7"/>
      <c r="L146"/>
      <c r="M146"/>
      <c r="P146"/>
      <c r="Q146" s="228"/>
      <c r="R146" s="228"/>
      <c r="S146" s="228"/>
      <c r="T146" s="228"/>
      <c r="U146" s="228"/>
    </row>
    <row r="147" spans="1:63" s="7" customFormat="1" ht="12.75">
      <c r="A147" s="235"/>
      <c r="D147" s="19" t="s">
        <v>253</v>
      </c>
      <c r="E147" s="13">
        <f>IF(C13="","",C13)</f>
        <v>117</v>
      </c>
      <c r="F147" s="25" t="str">
        <f>IF(E147="","",LOOKUP(E147,conversion)&amp;" PR")</f>
        <v>87 PR</v>
      </c>
      <c r="G147" s="234" t="str">
        <f>IF(E147="","",-12+E147&amp;" to "&amp;E147+12)</f>
        <v>105 to 129</v>
      </c>
      <c r="H147" s="234"/>
      <c r="I147" s="26" t="str">
        <f>IF(E147="","",LOOKUP((-12+E147),$B$554:$H$555)&amp;" to "&amp;LOOKUP((12+E147),$B$554:$H$555))</f>
        <v>Average to Superior</v>
      </c>
      <c r="J147" s="3"/>
      <c r="K147" s="3"/>
      <c r="L147"/>
      <c r="M147"/>
      <c r="O147" s="3"/>
      <c r="P147"/>
      <c r="Q147" s="228"/>
      <c r="R147" s="228"/>
      <c r="S147" s="228"/>
      <c r="T147" s="228"/>
      <c r="U147" s="228"/>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row>
    <row r="148" spans="1:63" s="7" customFormat="1" ht="12.75">
      <c r="A148" s="235"/>
      <c r="D148" s="23" t="s">
        <v>259</v>
      </c>
      <c r="E148" s="13">
        <f>IF(G13="","",G13)</f>
        <v>94</v>
      </c>
      <c r="F148" s="25" t="str">
        <f>IF(E148="","",LOOKUP(E148,conversion)&amp;" PR")</f>
        <v>34 PR</v>
      </c>
      <c r="G148" s="234" t="str">
        <f>IF(E148="","",-10+E148&amp;" to "&amp;E148+10)</f>
        <v>84 to 104</v>
      </c>
      <c r="H148" s="234"/>
      <c r="I148" s="26" t="str">
        <f>IF(E148="","",LOOKUP((-10+E148),$B$554:$H$555)&amp;" to "&amp;LOOKUP((10+E148),$B$554:$H$555))</f>
        <v>Low Average to Average</v>
      </c>
      <c r="J148" s="3"/>
      <c r="K148" s="3"/>
      <c r="L148"/>
      <c r="M148"/>
      <c r="O148" s="3"/>
      <c r="P148"/>
      <c r="Q148" s="228"/>
      <c r="R148" s="228"/>
      <c r="S148" s="228"/>
      <c r="T148" s="228"/>
      <c r="U148" s="228"/>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row>
    <row r="149" spans="1:63" s="7" customFormat="1" ht="12.75">
      <c r="A149" s="235"/>
      <c r="D149" s="23" t="s">
        <v>254</v>
      </c>
      <c r="E149" s="13">
        <f>IF(I13="","",I13)</f>
        <v>76</v>
      </c>
      <c r="F149" s="25" t="str">
        <f>IF(E149="","",LOOKUP(E149,conversion)&amp;" PR")</f>
        <v>5 PR</v>
      </c>
      <c r="G149" s="234" t="str">
        <f>IF(E149="","",-4+E149&amp;" to "&amp;E149+4)</f>
        <v>72 to 80</v>
      </c>
      <c r="H149" s="234"/>
      <c r="I149" s="26" t="str">
        <f>IF(E149="","",LOOKUP((-4+E149),$B$554:$H$555)&amp;" to "&amp;LOOKUP((4+E149),$B$554:$H$555))</f>
        <v>Low to Low Average</v>
      </c>
      <c r="J149" s="3"/>
      <c r="K149" s="3"/>
      <c r="L149"/>
      <c r="M149"/>
      <c r="O149" s="3"/>
      <c r="P149"/>
      <c r="Q149" s="228"/>
      <c r="R149" s="228"/>
      <c r="S149" s="228"/>
      <c r="T149" s="228"/>
      <c r="U149" s="228"/>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row>
    <row r="150" spans="1:63" s="7" customFormat="1" ht="4.5" customHeight="1">
      <c r="A150" s="235"/>
      <c r="D150" s="23"/>
      <c r="E150" s="13"/>
      <c r="F150" s="25"/>
      <c r="G150" s="25"/>
      <c r="H150" s="25"/>
      <c r="I150" s="26"/>
      <c r="J150" s="3"/>
      <c r="K150" s="3"/>
      <c r="L150"/>
      <c r="M150"/>
      <c r="O150" s="3"/>
      <c r="P150"/>
      <c r="Q150" s="228"/>
      <c r="R150" s="228"/>
      <c r="S150" s="228"/>
      <c r="T150" s="228"/>
      <c r="U150" s="228"/>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row>
    <row r="151" spans="1:63" s="7" customFormat="1" ht="5.25" customHeight="1">
      <c r="A151" s="235"/>
      <c r="B151" s="44"/>
      <c r="C151" s="44"/>
      <c r="D151" s="45"/>
      <c r="E151" s="68"/>
      <c r="F151" s="47"/>
      <c r="G151" s="47"/>
      <c r="H151" s="47"/>
      <c r="I151" s="48"/>
      <c r="J151" s="44"/>
      <c r="K151" s="44"/>
      <c r="L151"/>
      <c r="M151"/>
      <c r="O151" s="3"/>
      <c r="P151"/>
      <c r="Q151" s="228"/>
      <c r="R151" s="228"/>
      <c r="S151" s="228"/>
      <c r="T151" s="228"/>
      <c r="U151" s="228"/>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row>
    <row r="152" spans="1:63" s="7" customFormat="1" ht="5.25" customHeight="1">
      <c r="A152" s="235"/>
      <c r="B152" s="3"/>
      <c r="C152" s="3"/>
      <c r="F152" s="65"/>
      <c r="J152" s="3"/>
      <c r="K152" s="3"/>
      <c r="L152"/>
      <c r="M152"/>
      <c r="O152" s="3"/>
      <c r="P152"/>
      <c r="Q152" s="228"/>
      <c r="R152" s="228"/>
      <c r="S152" s="228"/>
      <c r="T152" s="228"/>
      <c r="U152" s="228"/>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row>
    <row r="153" spans="1:63" s="7" customFormat="1" ht="12.75">
      <c r="A153" s="235"/>
      <c r="B153" s="24"/>
      <c r="C153" s="3"/>
      <c r="D153" s="36" t="s">
        <v>267</v>
      </c>
      <c r="E153" s="66">
        <f>IF(C50="","",C50)</f>
        <v>94</v>
      </c>
      <c r="F153" s="25" t="str">
        <f>IF(E153="","",E50)</f>
        <v>34 PR</v>
      </c>
      <c r="G153" s="234" t="str">
        <f>IF(F153="","",F50)</f>
        <v>88 to 100</v>
      </c>
      <c r="H153" s="234"/>
      <c r="I153" s="26" t="str">
        <f>IF(E153="","",H50)</f>
        <v>Low Average to Average</v>
      </c>
      <c r="J153" s="3"/>
      <c r="K153" s="3"/>
      <c r="L153"/>
      <c r="M153"/>
      <c r="O153" s="3"/>
      <c r="P153"/>
      <c r="Q153" s="228"/>
      <c r="R153" s="228"/>
      <c r="S153" s="228"/>
      <c r="T153" s="228"/>
      <c r="U153" s="228"/>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row>
    <row r="154" spans="1:63" s="7" customFormat="1" ht="5.25" customHeight="1">
      <c r="A154" s="235"/>
      <c r="D154" s="3"/>
      <c r="J154" s="3"/>
      <c r="K154" s="3"/>
      <c r="L154"/>
      <c r="M154"/>
      <c r="O154" s="3"/>
      <c r="P154" s="3"/>
      <c r="Q154" s="211"/>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row>
    <row r="155" spans="1:63" s="7" customFormat="1" ht="12.75">
      <c r="A155" s="235"/>
      <c r="D155" s="23" t="s">
        <v>10</v>
      </c>
      <c r="E155" s="13">
        <f>IF(F9="","",F9)</f>
        <v>105</v>
      </c>
      <c r="F155" s="25" t="str">
        <f>IF(E155="","",LOOKUP(E155,conversion)&amp;" PR")</f>
        <v>63 PR</v>
      </c>
      <c r="G155" s="234" t="str">
        <f>IF(E155="","",-7+E155&amp;" to "&amp;E155+7)</f>
        <v>98 to 112</v>
      </c>
      <c r="H155" s="234"/>
      <c r="I155" s="26" t="str">
        <f>IF(E155="","",LOOKUP((-7+E155),$B$554:$H$555)&amp;" to "&amp;LOOKUP((7+E155),$B$554:$H$555))</f>
        <v>Average to High Average</v>
      </c>
      <c r="J155" s="3"/>
      <c r="K155" s="3"/>
      <c r="L155"/>
      <c r="M155"/>
      <c r="O155" s="3"/>
      <c r="P155" s="3"/>
      <c r="Q155" s="211"/>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row>
    <row r="156" spans="1:63" s="7" customFormat="1" ht="12.75">
      <c r="A156" s="235"/>
      <c r="D156" s="23" t="s">
        <v>249</v>
      </c>
      <c r="E156" s="13">
        <f>IF(J13="","",J13)</f>
        <v>111</v>
      </c>
      <c r="F156" s="25" t="str">
        <f>IF(E156="","",LOOKUP(E156,conversion)&amp;" PR")</f>
        <v>77 PR</v>
      </c>
      <c r="G156" s="234" t="str">
        <f>IF(E156="","",-25+E156&amp;" to "&amp;E156+25)</f>
        <v>86 to 136</v>
      </c>
      <c r="H156" s="234"/>
      <c r="I156" s="26" t="str">
        <f>IF(E156="","",LOOKUP((-25+E156),$B$554:$H$555)&amp;" to "&amp;LOOKUP((25+E156),$B$554:$H$555))</f>
        <v>Low Average to Very Superior</v>
      </c>
      <c r="J156" s="3"/>
      <c r="K156" s="3"/>
      <c r="L156"/>
      <c r="M156"/>
      <c r="O156" s="3"/>
      <c r="P156" s="3"/>
      <c r="Q156" s="211"/>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row>
    <row r="157" spans="1:63" s="7" customFormat="1" ht="12.75">
      <c r="A157" s="235"/>
      <c r="D157" s="23" t="s">
        <v>255</v>
      </c>
      <c r="E157" s="13">
        <f>IF(K13="","",K13)</f>
        <v>79</v>
      </c>
      <c r="F157" s="25" t="str">
        <f>IF(E157="","",LOOKUP(E157,conversion)&amp;" PR")</f>
        <v>8 PR</v>
      </c>
      <c r="G157" s="234" t="str">
        <f>IF(E157="","",-5+E157&amp;" to "&amp;E157+5)</f>
        <v>74 to 84</v>
      </c>
      <c r="H157" s="234"/>
      <c r="I157" s="26" t="str">
        <f>IF(E157="","",LOOKUP((-5+E157),$B$554:$H$555)&amp;" to "&amp;LOOKUP((5+E157),$B$554:$H$555))</f>
        <v>Low to Low Average</v>
      </c>
      <c r="J157" s="3"/>
      <c r="K157" s="3"/>
      <c r="L157"/>
      <c r="M157"/>
      <c r="O157" s="3"/>
      <c r="P157" s="3"/>
      <c r="Q157" s="211"/>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row>
    <row r="158" spans="1:63" s="7" customFormat="1" ht="5.25" customHeight="1">
      <c r="A158" s="235"/>
      <c r="D158" s="23"/>
      <c r="E158" s="13"/>
      <c r="F158" s="25"/>
      <c r="G158" s="25"/>
      <c r="H158" s="25"/>
      <c r="I158" s="26"/>
      <c r="J158" s="3"/>
      <c r="K158" s="3"/>
      <c r="L158"/>
      <c r="M158"/>
      <c r="O158" s="3"/>
      <c r="P158" s="3"/>
      <c r="Q158" s="211"/>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row>
    <row r="159" spans="1:63" s="7" customFormat="1" ht="5.25" customHeight="1">
      <c r="A159" s="195"/>
      <c r="B159" s="44"/>
      <c r="C159" s="44"/>
      <c r="D159" s="45"/>
      <c r="E159" s="68"/>
      <c r="F159" s="47"/>
      <c r="G159" s="47"/>
      <c r="H159" s="47"/>
      <c r="I159" s="48"/>
      <c r="J159" s="44"/>
      <c r="K159" s="44"/>
      <c r="L159"/>
      <c r="M159"/>
      <c r="O159" s="3"/>
      <c r="P159" s="3"/>
      <c r="Q159" s="211"/>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row>
    <row r="160" spans="1:63" s="7" customFormat="1" ht="5.25" customHeight="1">
      <c r="A160" s="235" t="s">
        <v>51</v>
      </c>
      <c r="B160"/>
      <c r="C160"/>
      <c r="D160"/>
      <c r="E160"/>
      <c r="F160"/>
      <c r="G160"/>
      <c r="H160"/>
      <c r="I160"/>
      <c r="J160"/>
      <c r="K160"/>
      <c r="L160"/>
      <c r="M160"/>
      <c r="O160" s="3"/>
      <c r="P160" s="3"/>
      <c r="Q160" s="211"/>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row>
    <row r="161" spans="1:63" s="7" customFormat="1" ht="12.75">
      <c r="A161" s="235"/>
      <c r="B161" s="194"/>
      <c r="C161" s="194"/>
      <c r="D161" s="36" t="s">
        <v>650</v>
      </c>
      <c r="E161" s="66">
        <f>IF(C51="","",C51)</f>
      </c>
      <c r="F161" s="25">
        <f>IF(E161="","",E51)</f>
      </c>
      <c r="G161" s="234">
        <f>IF(F161="","",F51)</f>
      </c>
      <c r="H161" s="234"/>
      <c r="I161" s="26">
        <f>IF(E161="","",H51)</f>
      </c>
      <c r="J161"/>
      <c r="K161"/>
      <c r="L161"/>
      <c r="M161"/>
      <c r="O161" s="3"/>
      <c r="P161" s="3"/>
      <c r="Q161" s="211"/>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row>
    <row r="162" spans="1:63" s="7" customFormat="1" ht="5.25" customHeight="1">
      <c r="A162" s="235"/>
      <c r="B162" s="194"/>
      <c r="C162" s="194"/>
      <c r="D162" s="3"/>
      <c r="J162"/>
      <c r="K162"/>
      <c r="L162"/>
      <c r="M162"/>
      <c r="O162" s="3"/>
      <c r="P162" s="3"/>
      <c r="Q162" s="211"/>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row>
    <row r="163" spans="1:63" s="7" customFormat="1" ht="12.75">
      <c r="A163" s="235"/>
      <c r="B163" s="194"/>
      <c r="C163" s="194"/>
      <c r="D163" s="23" t="s">
        <v>664</v>
      </c>
      <c r="E163" s="13">
        <f>IF(E17="","",E17)</f>
      </c>
      <c r="F163" s="25">
        <f>IF(E163="","",LOOKUP(E163,conversion)&amp;" PR")</f>
      </c>
      <c r="G163" s="234">
        <f>IF(E163="","",-12+E163&amp;" to "&amp;E163+12)</f>
      </c>
      <c r="H163" s="234"/>
      <c r="I163" s="26">
        <f>IF(E163="","",LOOKUP((-12+E163),$B$554:$H$555)&amp;" to "&amp;LOOKUP((12+E163),$B$554:$H$555))</f>
      </c>
      <c r="J163"/>
      <c r="K163"/>
      <c r="L163"/>
      <c r="M163"/>
      <c r="O163" s="3"/>
      <c r="P163" s="3"/>
      <c r="Q163" s="211"/>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row>
    <row r="164" spans="1:63" s="7" customFormat="1" ht="12.75">
      <c r="A164" s="235"/>
      <c r="B164" s="194"/>
      <c r="C164" s="194"/>
      <c r="D164" s="23" t="s">
        <v>658</v>
      </c>
      <c r="E164" s="13">
        <f>IF(F17="","",F17)</f>
      </c>
      <c r="F164" s="25">
        <f>IF(E164="","",LOOKUP(E164,conversion)&amp;" PR")</f>
      </c>
      <c r="G164" s="234">
        <f>IF(E164="","",-14+E164&amp;" to "&amp;E164+14)</f>
      </c>
      <c r="H164" s="234"/>
      <c r="I164" s="26">
        <f>IF(E164="","",LOOKUP((-14+E164),$B$554:$H$555)&amp;" to "&amp;LOOKUP((14+E164),$B$554:$H$555))</f>
      </c>
      <c r="J164"/>
      <c r="K164"/>
      <c r="L164"/>
      <c r="M164"/>
      <c r="O164" s="3"/>
      <c r="P164" s="3"/>
      <c r="Q164" s="211"/>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row>
    <row r="165" spans="1:63" s="7" customFormat="1" ht="5.25" customHeight="1">
      <c r="A165" s="235"/>
      <c r="B165" s="194"/>
      <c r="C165" s="194"/>
      <c r="D165" s="23"/>
      <c r="E165" s="13"/>
      <c r="F165" s="25"/>
      <c r="G165" s="25"/>
      <c r="H165" s="25"/>
      <c r="I165" s="26"/>
      <c r="J165"/>
      <c r="K165"/>
      <c r="L165"/>
      <c r="M165"/>
      <c r="O165" s="3"/>
      <c r="P165" s="3"/>
      <c r="Q165" s="211"/>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row>
    <row r="166" spans="1:63" s="7" customFormat="1" ht="5.25" customHeight="1">
      <c r="A166" s="235"/>
      <c r="B166" s="44"/>
      <c r="C166" s="44"/>
      <c r="D166" s="45"/>
      <c r="E166" s="68"/>
      <c r="F166" s="47"/>
      <c r="G166" s="47"/>
      <c r="H166" s="47"/>
      <c r="I166" s="48"/>
      <c r="J166" s="48"/>
      <c r="K166" s="48"/>
      <c r="L166"/>
      <c r="M166"/>
      <c r="O166" s="3"/>
      <c r="P166" s="3"/>
      <c r="Q166" s="211"/>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row>
    <row r="167" spans="1:63" s="7" customFormat="1" ht="5.25" customHeight="1">
      <c r="A167" s="235"/>
      <c r="B167"/>
      <c r="C167"/>
      <c r="D167"/>
      <c r="E167"/>
      <c r="F167"/>
      <c r="G167"/>
      <c r="H167"/>
      <c r="I167"/>
      <c r="J167"/>
      <c r="K167"/>
      <c r="L167"/>
      <c r="M167"/>
      <c r="O167" s="3"/>
      <c r="P167" s="3"/>
      <c r="Q167" s="211"/>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row>
    <row r="168" spans="1:63" s="7" customFormat="1" ht="12.75">
      <c r="A168" s="235"/>
      <c r="B168" s="194"/>
      <c r="C168" s="194"/>
      <c r="D168" s="36" t="s">
        <v>659</v>
      </c>
      <c r="E168" s="66">
        <f>IF(C52="","",C52)</f>
        <v>71</v>
      </c>
      <c r="F168" s="25" t="str">
        <f>IF(E168="","",E52)</f>
        <v>3 PR</v>
      </c>
      <c r="G168" s="234" t="str">
        <f>IF(F168="","",F52)</f>
        <v>65 to 77</v>
      </c>
      <c r="H168" s="234"/>
      <c r="I168" s="26" t="str">
        <f>IF(E168="","",H52)</f>
        <v>Very Low to Low</v>
      </c>
      <c r="J168"/>
      <c r="K168"/>
      <c r="L168"/>
      <c r="M168"/>
      <c r="O168" s="3"/>
      <c r="P168" s="3"/>
      <c r="Q168" s="211"/>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row>
    <row r="169" spans="1:63" s="7" customFormat="1" ht="5.25" customHeight="1">
      <c r="A169" s="235"/>
      <c r="B169" s="194"/>
      <c r="C169" s="194"/>
      <c r="D169" s="3"/>
      <c r="J169"/>
      <c r="K169"/>
      <c r="L169"/>
      <c r="M169"/>
      <c r="O169" s="3"/>
      <c r="P169" s="3"/>
      <c r="Q169" s="211"/>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row>
    <row r="170" spans="1:63" s="7" customFormat="1" ht="12.75">
      <c r="A170" s="235"/>
      <c r="B170" s="194"/>
      <c r="C170" s="194"/>
      <c r="D170" s="14" t="s">
        <v>252</v>
      </c>
      <c r="E170" s="13">
        <f>IF(i="","",i)</f>
        <v>74</v>
      </c>
      <c r="F170" s="25" t="str">
        <f>IF(E170="","",LOOKUP(E170,conversion)&amp;" PR")</f>
        <v>4 PR</v>
      </c>
      <c r="G170" s="234" t="str">
        <f>IF(E170="","",-12+E170&amp;" to "&amp;E170+12)</f>
        <v>62 to 86</v>
      </c>
      <c r="H170" s="234"/>
      <c r="I170" s="26" t="str">
        <f>IF(E170="","",LOOKUP((-12+E170),$B$554:$H$555)&amp;" to "&amp;LOOKUP((12+E170),$B$554:$H$555))</f>
        <v>Very Low to Low Average</v>
      </c>
      <c r="J170"/>
      <c r="K170"/>
      <c r="L170"/>
      <c r="M170"/>
      <c r="O170" s="3"/>
      <c r="P170" s="3"/>
      <c r="Q170" s="211"/>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row>
    <row r="171" spans="1:63" s="7" customFormat="1" ht="12.75">
      <c r="A171" s="235"/>
      <c r="B171" s="194"/>
      <c r="C171" s="194"/>
      <c r="D171" s="23" t="s">
        <v>665</v>
      </c>
      <c r="E171" s="13">
        <f>IF(B17="","",B17)</f>
        <v>85</v>
      </c>
      <c r="F171" s="25" t="str">
        <f>IF(E171="","",LOOKUP(E171,conversion)&amp;" PR")</f>
        <v>16 PR</v>
      </c>
      <c r="G171" s="234" t="str">
        <f>IF(E171="","",-14+E171&amp;" to "&amp;E171+14)</f>
        <v>71 to 99</v>
      </c>
      <c r="H171" s="234"/>
      <c r="I171" s="26" t="str">
        <f>IF(E171="","",LOOKUP((-14+E171),$B$554:$H$555)&amp;" to "&amp;LOOKUP((14+E171),$B$554:$H$555))</f>
        <v>Low to Average</v>
      </c>
      <c r="J171"/>
      <c r="K171"/>
      <c r="L171"/>
      <c r="M171"/>
      <c r="O171" s="3"/>
      <c r="P171" s="3"/>
      <c r="Q171" s="211"/>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row>
    <row r="172" spans="1:63" s="7" customFormat="1" ht="5.25" customHeight="1">
      <c r="A172" s="235"/>
      <c r="B172" s="194"/>
      <c r="C172" s="194"/>
      <c r="D172" s="23"/>
      <c r="E172" s="13"/>
      <c r="F172" s="25"/>
      <c r="G172" s="25"/>
      <c r="H172" s="25"/>
      <c r="I172" s="26"/>
      <c r="J172"/>
      <c r="K172"/>
      <c r="L172"/>
      <c r="M172"/>
      <c r="O172" s="3"/>
      <c r="P172" s="3"/>
      <c r="Q172" s="211"/>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row>
    <row r="173" spans="1:63" s="7" customFormat="1" ht="5.25" customHeight="1">
      <c r="A173" s="235"/>
      <c r="B173" s="44"/>
      <c r="C173" s="44"/>
      <c r="D173" s="45"/>
      <c r="E173" s="68"/>
      <c r="F173" s="47"/>
      <c r="G173" s="47"/>
      <c r="H173" s="47"/>
      <c r="I173" s="48"/>
      <c r="J173" s="48"/>
      <c r="K173" s="48"/>
      <c r="L173"/>
      <c r="M173"/>
      <c r="O173" s="3"/>
      <c r="P173" s="3"/>
      <c r="Q173" s="211"/>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row>
    <row r="174" spans="1:63" s="7" customFormat="1" ht="5.25" customHeight="1">
      <c r="A174" s="235"/>
      <c r="B174"/>
      <c r="C174"/>
      <c r="D174"/>
      <c r="E174"/>
      <c r="F174"/>
      <c r="G174"/>
      <c r="H174"/>
      <c r="I174"/>
      <c r="J174"/>
      <c r="K174"/>
      <c r="L174"/>
      <c r="M174"/>
      <c r="O174" s="3"/>
      <c r="P174" s="3"/>
      <c r="Q174" s="211"/>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row>
    <row r="175" spans="1:63" s="7" customFormat="1" ht="12.75">
      <c r="A175" s="235"/>
      <c r="B175" s="194"/>
      <c r="C175" s="194"/>
      <c r="D175" s="36" t="s">
        <v>660</v>
      </c>
      <c r="E175" s="66">
        <f>IF(C53="","",C53)</f>
      </c>
      <c r="F175" s="25">
        <f>IF(E175="","",E53)</f>
      </c>
      <c r="G175" s="234">
        <f>IF(F175="","",F53)</f>
      </c>
      <c r="H175" s="234"/>
      <c r="I175" s="26">
        <f>IF(E175="","",H53)</f>
      </c>
      <c r="J175"/>
      <c r="K175"/>
      <c r="L175"/>
      <c r="M175"/>
      <c r="O175" s="3"/>
      <c r="P175" s="3"/>
      <c r="Q175" s="211"/>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row>
    <row r="176" spans="1:63" s="7" customFormat="1" ht="5.25" customHeight="1">
      <c r="A176" s="235"/>
      <c r="B176" s="194"/>
      <c r="C176" s="194"/>
      <c r="D176" s="3"/>
      <c r="J176"/>
      <c r="K176"/>
      <c r="L176"/>
      <c r="M176"/>
      <c r="O176" s="3"/>
      <c r="P176" s="3"/>
      <c r="Q176" s="211"/>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row>
    <row r="177" spans="1:63" s="7" customFormat="1" ht="12.75">
      <c r="A177" s="235"/>
      <c r="B177" s="194"/>
      <c r="C177" s="194"/>
      <c r="D177" s="23" t="s">
        <v>248</v>
      </c>
      <c r="E177" s="13">
        <f>IF(cd="","",cd)</f>
        <v>92</v>
      </c>
      <c r="F177" s="25" t="str">
        <f>IF(E177="","",LOOKUP(E177,conversion)&amp;" PR")</f>
        <v>30 PR</v>
      </c>
      <c r="G177" s="234" t="str">
        <f>IF(E177="","",-12+E177&amp;" to "&amp;E177+12)</f>
        <v>80 to 104</v>
      </c>
      <c r="H177" s="234"/>
      <c r="I177" s="26" t="str">
        <f>IF(E177="","",LOOKUP((-12+E177),$B$554:$H$555)&amp;" to "&amp;LOOKUP((12+E177),$B$554:$H$555))</f>
        <v>Low Average to Average</v>
      </c>
      <c r="J177"/>
      <c r="K177"/>
      <c r="L177"/>
      <c r="M177"/>
      <c r="O177" s="3"/>
      <c r="P177" s="3"/>
      <c r="Q177" s="211"/>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row>
    <row r="178" spans="1:63" s="7" customFormat="1" ht="12.75">
      <c r="A178" s="235"/>
      <c r="B178" s="194"/>
      <c r="C178" s="194"/>
      <c r="D178" s="23" t="s">
        <v>666</v>
      </c>
      <c r="E178" s="13">
        <f>IF(I17="","",I17)</f>
      </c>
      <c r="F178" s="25">
        <f>IF(E178="","",LOOKUP(E178,conversion)&amp;" PR")</f>
      </c>
      <c r="G178" s="234">
        <f>IF(E178="","",-14+E178&amp;" to "&amp;E178+14)</f>
      </c>
      <c r="H178" s="234"/>
      <c r="I178" s="26">
        <f>IF(E178="","",LOOKUP((-14+E178),$B$554:$H$555)&amp;" to "&amp;LOOKUP((14+E178),$B$554:$H$555))</f>
      </c>
      <c r="J178"/>
      <c r="K178"/>
      <c r="L178"/>
      <c r="M178"/>
      <c r="O178" s="3"/>
      <c r="P178" s="3"/>
      <c r="Q178" s="211"/>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row>
    <row r="179" spans="1:63" s="7" customFormat="1" ht="5.25" customHeight="1">
      <c r="A179" s="235"/>
      <c r="B179" s="194"/>
      <c r="C179" s="194"/>
      <c r="D179" s="23"/>
      <c r="E179" s="13"/>
      <c r="F179" s="25"/>
      <c r="G179" s="25"/>
      <c r="H179" s="25"/>
      <c r="I179" s="26"/>
      <c r="J179"/>
      <c r="K179"/>
      <c r="L179"/>
      <c r="M179"/>
      <c r="O179" s="3"/>
      <c r="P179" s="3"/>
      <c r="Q179" s="211"/>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row>
    <row r="180" spans="1:63" s="7" customFormat="1" ht="5.25" customHeight="1">
      <c r="A180" s="235"/>
      <c r="B180" s="44"/>
      <c r="C180" s="44"/>
      <c r="D180" s="45"/>
      <c r="E180" s="68"/>
      <c r="F180" s="47"/>
      <c r="G180" s="47"/>
      <c r="H180" s="47"/>
      <c r="I180" s="48"/>
      <c r="J180" s="48"/>
      <c r="K180" s="48"/>
      <c r="L180"/>
      <c r="M180"/>
      <c r="O180" s="3"/>
      <c r="P180" s="3"/>
      <c r="Q180" s="211"/>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row>
    <row r="181" spans="1:63" s="7" customFormat="1" ht="5.25" customHeight="1">
      <c r="A181" s="235"/>
      <c r="B181"/>
      <c r="C181"/>
      <c r="D181"/>
      <c r="E181"/>
      <c r="F181"/>
      <c r="G181"/>
      <c r="H181"/>
      <c r="I181"/>
      <c r="J181"/>
      <c r="K181"/>
      <c r="L181"/>
      <c r="M181"/>
      <c r="O181" s="3"/>
      <c r="P181" s="3"/>
      <c r="Q181" s="211"/>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row>
    <row r="182" spans="1:63" s="7" customFormat="1" ht="12.75">
      <c r="A182" s="235"/>
      <c r="B182" s="194"/>
      <c r="C182" s="194"/>
      <c r="D182" s="36" t="s">
        <v>661</v>
      </c>
      <c r="E182" s="66">
        <f>IF(C54="","",C54)</f>
      </c>
      <c r="F182" s="25">
        <f>IF(E182="","",E54)</f>
      </c>
      <c r="G182" s="234">
        <f>IF(F182="","",F54)</f>
      </c>
      <c r="H182" s="234"/>
      <c r="I182" s="26">
        <f>IF(E182="","",H54)</f>
      </c>
      <c r="J182"/>
      <c r="K182"/>
      <c r="L182"/>
      <c r="M182"/>
      <c r="O182" s="3"/>
      <c r="P182" s="3"/>
      <c r="Q182" s="211"/>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row>
    <row r="183" spans="1:63" s="7" customFormat="1" ht="5.25" customHeight="1">
      <c r="A183" s="235"/>
      <c r="B183" s="194"/>
      <c r="C183" s="194"/>
      <c r="D183" s="3"/>
      <c r="J183"/>
      <c r="K183"/>
      <c r="L183"/>
      <c r="M183"/>
      <c r="O183" s="3"/>
      <c r="P183" s="3"/>
      <c r="Q183" s="211"/>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row>
    <row r="184" spans="1:63" s="7" customFormat="1" ht="12.75">
      <c r="A184" s="235"/>
      <c r="B184" s="194"/>
      <c r="C184" s="194"/>
      <c r="D184" s="23" t="s">
        <v>668</v>
      </c>
      <c r="E184" s="13">
        <f>IF(D17="","",D17)</f>
      </c>
      <c r="F184" s="25">
        <f>IF(E184="","",LOOKUP(E184,conversion)&amp;" PR")</f>
      </c>
      <c r="G184" s="234">
        <f>IF(E184="","",-12+E184&amp;" to "&amp;E184+12)</f>
      </c>
      <c r="H184" s="234"/>
      <c r="I184" s="26">
        <f>IF(E184="","",LOOKUP((-12+E184),$B$554:$H$555)&amp;" to "&amp;LOOKUP((12+E184),$B$554:$H$555))</f>
      </c>
      <c r="J184"/>
      <c r="K184"/>
      <c r="L184"/>
      <c r="M184"/>
      <c r="O184" s="3"/>
      <c r="P184" s="3"/>
      <c r="Q184" s="211"/>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row>
    <row r="185" spans="1:63" s="7" customFormat="1" ht="12.75">
      <c r="A185" s="235"/>
      <c r="B185" s="194"/>
      <c r="C185" s="194"/>
      <c r="D185" s="23" t="s">
        <v>667</v>
      </c>
      <c r="E185" s="13">
        <f>IF(J17="","",J17)</f>
      </c>
      <c r="F185" s="25">
        <f>IF(E185="","",LOOKUP(E185,conversion)&amp;" PR")</f>
      </c>
      <c r="G185" s="234">
        <f>IF(E185="","",-14+E185&amp;" to "&amp;E185+14)</f>
      </c>
      <c r="H185" s="234"/>
      <c r="I185" s="26">
        <f>IF(E185="","",LOOKUP((-14+E185),$B$554:$H$555)&amp;" to "&amp;LOOKUP((14+E185),$B$554:$H$555))</f>
      </c>
      <c r="J185"/>
      <c r="K185"/>
      <c r="L185"/>
      <c r="M185"/>
      <c r="O185" s="3"/>
      <c r="P185" s="3"/>
      <c r="Q185" s="211"/>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row>
    <row r="186" spans="1:63" s="7" customFormat="1" ht="5.25" customHeight="1">
      <c r="A186" s="235"/>
      <c r="B186" s="194"/>
      <c r="C186" s="194"/>
      <c r="D186" s="23"/>
      <c r="E186" s="13"/>
      <c r="F186" s="25"/>
      <c r="G186" s="25"/>
      <c r="H186" s="25"/>
      <c r="I186" s="26"/>
      <c r="J186"/>
      <c r="K186"/>
      <c r="L186"/>
      <c r="M186"/>
      <c r="O186" s="3"/>
      <c r="P186" s="3"/>
      <c r="Q186" s="211"/>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row>
    <row r="187" spans="1:63" s="7" customFormat="1" ht="5.25" customHeight="1">
      <c r="A187" s="235"/>
      <c r="B187" s="44"/>
      <c r="C187" s="44"/>
      <c r="D187" s="45"/>
      <c r="E187" s="68"/>
      <c r="F187" s="47"/>
      <c r="G187" s="47"/>
      <c r="H187" s="47"/>
      <c r="I187" s="48"/>
      <c r="J187" s="48"/>
      <c r="K187" s="48"/>
      <c r="L187"/>
      <c r="M187"/>
      <c r="O187" s="3"/>
      <c r="P187" s="3"/>
      <c r="Q187" s="211"/>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row>
    <row r="188" spans="1:63" s="7" customFormat="1" ht="5.25" customHeight="1">
      <c r="A188" s="235"/>
      <c r="B188"/>
      <c r="C188"/>
      <c r="D188"/>
      <c r="E188"/>
      <c r="F188"/>
      <c r="G188"/>
      <c r="H188"/>
      <c r="I188"/>
      <c r="J188"/>
      <c r="K188"/>
      <c r="L188"/>
      <c r="M188"/>
      <c r="O188" s="3"/>
      <c r="P188" s="3"/>
      <c r="Q188" s="211"/>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row>
    <row r="189" spans="1:63" s="7" customFormat="1" ht="12.75">
      <c r="A189" s="235"/>
      <c r="B189"/>
      <c r="C189" s="194"/>
      <c r="D189" s="36" t="s">
        <v>662</v>
      </c>
      <c r="E189" s="66">
        <f>IF(C55="","",C55)</f>
      </c>
      <c r="F189" s="25">
        <f>IF(E189="","",E55)</f>
      </c>
      <c r="G189" s="234">
        <f>IF(F189="","",F55)</f>
      </c>
      <c r="H189" s="234"/>
      <c r="I189" s="26">
        <f>IF(E189="","",H55)</f>
      </c>
      <c r="J189"/>
      <c r="K189"/>
      <c r="L189"/>
      <c r="M189"/>
      <c r="O189" s="3"/>
      <c r="P189" s="3"/>
      <c r="Q189" s="211"/>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row>
    <row r="190" spans="1:63" s="7" customFormat="1" ht="5.25" customHeight="1">
      <c r="A190" s="235"/>
      <c r="B190" s="194"/>
      <c r="C190" s="194"/>
      <c r="D190" s="3"/>
      <c r="F190" s="65"/>
      <c r="J190"/>
      <c r="K190"/>
      <c r="L190"/>
      <c r="M190"/>
      <c r="O190" s="3"/>
      <c r="P190" s="3"/>
      <c r="Q190" s="211"/>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row>
    <row r="191" spans="1:63" s="7" customFormat="1" ht="12.75">
      <c r="A191" s="235"/>
      <c r="B191" s="194"/>
      <c r="C191" s="194"/>
      <c r="D191" s="14" t="s">
        <v>236</v>
      </c>
      <c r="E191" s="13">
        <f>IF(H13="","",H13)</f>
        <v>120</v>
      </c>
      <c r="F191" s="25" t="str">
        <f>IF(E191="","",LOOKUP(E191,conversion)&amp;" PR")</f>
        <v>91 PR</v>
      </c>
      <c r="G191" s="234" t="str">
        <f>IF(E191="","",-11+E191&amp;" to "&amp;E191+11)</f>
        <v>109 to 131</v>
      </c>
      <c r="H191" s="234"/>
      <c r="I191" s="26" t="str">
        <f>IF(E191="","",LOOKUP((-11+E191),$B$554:$H$555)&amp;" to "&amp;LOOKUP((11+E191),$B$554:$H$555))</f>
        <v>Average to Very Superior</v>
      </c>
      <c r="J191"/>
      <c r="K191"/>
      <c r="L191"/>
      <c r="M191"/>
      <c r="O191" s="3"/>
      <c r="P191" s="3"/>
      <c r="Q191" s="211"/>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row>
    <row r="192" spans="1:63" s="7" customFormat="1" ht="12.75">
      <c r="A192" s="235"/>
      <c r="B192" s="194"/>
      <c r="C192" s="194"/>
      <c r="D192" s="14" t="s">
        <v>669</v>
      </c>
      <c r="E192" s="13">
        <f>IF(H17="","",H17)</f>
        <v>74</v>
      </c>
      <c r="F192" s="25" t="str">
        <f>IF(E192="","",LOOKUP(E192,conversion)&amp;" PR")</f>
        <v>4 PR</v>
      </c>
      <c r="G192" s="234" t="str">
        <f>IF(E192="","",-12+E192&amp;" to "&amp;E192+12)</f>
        <v>62 to 86</v>
      </c>
      <c r="H192" s="234"/>
      <c r="I192" s="26" t="str">
        <f>IF(E192="","",LOOKUP((-12+E192),$B$554:$H$555)&amp;" to "&amp;LOOKUP((12+E192),$B$554:$H$555))</f>
        <v>Very Low to Low Average</v>
      </c>
      <c r="J192"/>
      <c r="K192"/>
      <c r="L192"/>
      <c r="M192"/>
      <c r="O192" s="3"/>
      <c r="P192" s="3"/>
      <c r="Q192" s="211"/>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row>
    <row r="193" spans="1:63" s="7" customFormat="1" ht="5.25" customHeight="1">
      <c r="A193" s="235"/>
      <c r="B193" s="194"/>
      <c r="E193" s="13">
        <f>IF(I68="","",I68)</f>
      </c>
      <c r="F193" s="25">
        <f>IF(E193="","",LOOKUP(E193,conversion)&amp;" PR")</f>
      </c>
      <c r="G193" s="234">
        <f>IF(E193="","",-14+E193&amp;" to "&amp;E193+14)</f>
      </c>
      <c r="H193" s="234"/>
      <c r="I193" s="26">
        <f>IF(E193="","",LOOKUP((-14+E193),$B$554:$H$555)&amp;" to "&amp;LOOKUP((14+E193),$B$554:$H$555))</f>
      </c>
      <c r="J193"/>
      <c r="K193"/>
      <c r="L193"/>
      <c r="M193"/>
      <c r="O193" s="3"/>
      <c r="P193" s="3"/>
      <c r="Q193" s="211"/>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row>
    <row r="194" spans="1:63" s="7" customFormat="1" ht="5.25" customHeight="1">
      <c r="A194" s="235"/>
      <c r="B194" s="44"/>
      <c r="C194" s="44"/>
      <c r="D194" s="45"/>
      <c r="E194" s="68"/>
      <c r="F194" s="47"/>
      <c r="G194" s="47"/>
      <c r="H194" s="47"/>
      <c r="I194" s="48"/>
      <c r="J194" s="48"/>
      <c r="K194" s="48"/>
      <c r="L194"/>
      <c r="M194"/>
      <c r="O194" s="3"/>
      <c r="P194" s="3"/>
      <c r="Q194" s="211"/>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row>
    <row r="195" spans="1:63" s="7" customFormat="1" ht="5.25" customHeight="1">
      <c r="A195" s="235"/>
      <c r="B195"/>
      <c r="C195"/>
      <c r="D195"/>
      <c r="E195"/>
      <c r="F195"/>
      <c r="G195"/>
      <c r="H195"/>
      <c r="I195"/>
      <c r="J195"/>
      <c r="K195"/>
      <c r="L195"/>
      <c r="M195"/>
      <c r="O195" s="3"/>
      <c r="P195" s="3"/>
      <c r="Q195" s="211"/>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row>
    <row r="196" spans="1:63" s="7" customFormat="1" ht="12.75">
      <c r="A196" s="235"/>
      <c r="B196" s="194"/>
      <c r="C196" s="194"/>
      <c r="D196" s="36" t="s">
        <v>663</v>
      </c>
      <c r="E196" s="66">
        <f>IF(C56="","",C56)</f>
        <v>90</v>
      </c>
      <c r="F196" s="25" t="str">
        <f>IF(E196="","",E56)</f>
        <v>25 PR</v>
      </c>
      <c r="G196" s="234" t="str">
        <f>IF(F196="","",F56)</f>
        <v>84 to 96</v>
      </c>
      <c r="H196" s="234"/>
      <c r="I196" s="26" t="str">
        <f>IF(E196="","",H56)</f>
        <v>Low Average to Average</v>
      </c>
      <c r="J196"/>
      <c r="K196"/>
      <c r="L196"/>
      <c r="M196"/>
      <c r="O196" s="3"/>
      <c r="P196" s="3"/>
      <c r="Q196" s="211"/>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row>
    <row r="197" spans="1:63" s="7" customFormat="1" ht="5.25" customHeight="1">
      <c r="A197" s="235"/>
      <c r="B197" s="194"/>
      <c r="C197" s="194"/>
      <c r="D197" s="3"/>
      <c r="J197"/>
      <c r="K197"/>
      <c r="L197"/>
      <c r="M197"/>
      <c r="O197" s="3"/>
      <c r="P197" s="3"/>
      <c r="Q197" s="211"/>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row>
    <row r="198" spans="1:63" s="7" customFormat="1" ht="12.75">
      <c r="A198" s="235"/>
      <c r="B198" s="194"/>
      <c r="C198" s="194"/>
      <c r="D198" s="23" t="s">
        <v>258</v>
      </c>
      <c r="E198" s="13">
        <f>IF(a="","",a)</f>
        <v>106</v>
      </c>
      <c r="F198" s="25" t="str">
        <f>IF(E198="","",LOOKUP(E198,conversion)&amp;" PR")</f>
        <v>66 PR</v>
      </c>
      <c r="G198" s="234" t="str">
        <f>IF(E198="","",-12+E198&amp;" to "&amp;E198+12)</f>
        <v>94 to 118</v>
      </c>
      <c r="H198" s="234"/>
      <c r="I198" s="26" t="str">
        <f>IF(E198="","",LOOKUP((-12+E198),$B$554:$H$555)&amp;" to "&amp;LOOKUP((12+E198),$B$554:$H$555))</f>
        <v>Average to High Average</v>
      </c>
      <c r="J198"/>
      <c r="K198"/>
      <c r="L198"/>
      <c r="M198"/>
      <c r="O198" s="3"/>
      <c r="P198" s="3"/>
      <c r="Q198" s="211"/>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row>
    <row r="199" spans="1:63" s="7" customFormat="1" ht="12.75">
      <c r="A199" s="235"/>
      <c r="B199" s="194"/>
      <c r="C199" s="194"/>
      <c r="D199" s="23" t="s">
        <v>670</v>
      </c>
      <c r="E199" s="13">
        <f>IF(G17="","",G17)</f>
        <v>85</v>
      </c>
      <c r="F199" s="25" t="str">
        <f>IF(E199="","",LOOKUP(E199,conversion)&amp;" PR")</f>
        <v>16 PR</v>
      </c>
      <c r="G199" s="234" t="str">
        <f>IF(E199="","",-14+E199&amp;" to "&amp;E199+14)</f>
        <v>71 to 99</v>
      </c>
      <c r="H199" s="234"/>
      <c r="I199" s="26" t="str">
        <f>IF(E199="","",LOOKUP((-14+E199),$B$554:$H$555)&amp;" to "&amp;LOOKUP((14+E199),$B$554:$H$555))</f>
        <v>Low to Average</v>
      </c>
      <c r="J199"/>
      <c r="K199"/>
      <c r="L199"/>
      <c r="M199"/>
      <c r="O199" s="3"/>
      <c r="P199" s="3"/>
      <c r="Q199" s="211"/>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row>
    <row r="200" spans="1:63" s="7" customFormat="1" ht="5.25" customHeight="1">
      <c r="A200" s="235"/>
      <c r="B200"/>
      <c r="C200"/>
      <c r="D200"/>
      <c r="E200"/>
      <c r="F200"/>
      <c r="G200"/>
      <c r="H200"/>
      <c r="I200"/>
      <c r="J200"/>
      <c r="K200"/>
      <c r="L200"/>
      <c r="M200"/>
      <c r="O200" s="3"/>
      <c r="P200" s="3"/>
      <c r="Q200" s="211"/>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row>
    <row r="201" spans="1:63" s="7" customFormat="1" ht="6" customHeight="1">
      <c r="A201" s="235"/>
      <c r="B201" s="44"/>
      <c r="C201" s="44"/>
      <c r="D201" s="45"/>
      <c r="E201" s="68"/>
      <c r="F201" s="47"/>
      <c r="G201" s="47"/>
      <c r="H201" s="47"/>
      <c r="I201" s="48"/>
      <c r="J201" s="44"/>
      <c r="K201" s="44"/>
      <c r="L201"/>
      <c r="M201"/>
      <c r="O201" s="3"/>
      <c r="P201" s="3"/>
      <c r="Q201" s="211"/>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row>
    <row r="202" spans="1:63" s="7" customFormat="1" ht="3.75" customHeight="1">
      <c r="A202" s="235"/>
      <c r="B202" s="3"/>
      <c r="C202" s="3"/>
      <c r="F202" s="65"/>
      <c r="J202" s="3"/>
      <c r="K202" s="3"/>
      <c r="L202"/>
      <c r="M202"/>
      <c r="O202" s="3"/>
      <c r="P202" s="3"/>
      <c r="Q202" s="211"/>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row>
    <row r="203" spans="1:63" s="7" customFormat="1" ht="12.75">
      <c r="A203" s="235"/>
      <c r="B203" s="24"/>
      <c r="C203" s="3"/>
      <c r="D203" s="36" t="s">
        <v>268</v>
      </c>
      <c r="E203" s="66">
        <f>IF(C66="","",C66)</f>
      </c>
      <c r="J203" s="3"/>
      <c r="K203" s="3"/>
      <c r="L203"/>
      <c r="M203"/>
      <c r="O203" s="3"/>
      <c r="P203" s="3"/>
      <c r="Q203" s="211"/>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row>
    <row r="204" spans="1:63" s="7" customFormat="1" ht="5.25" customHeight="1">
      <c r="A204" s="235"/>
      <c r="D204" s="3"/>
      <c r="J204" s="3"/>
      <c r="K204" s="3"/>
      <c r="L204"/>
      <c r="M204"/>
      <c r="O204" s="3"/>
      <c r="P204" s="3"/>
      <c r="Q204" s="211"/>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row>
    <row r="205" spans="1:63" s="7" customFormat="1" ht="12.75">
      <c r="A205" s="235"/>
      <c r="D205" s="14" t="s">
        <v>269</v>
      </c>
      <c r="E205" s="13">
        <f>IF(K9="","",K9)</f>
        <v>47</v>
      </c>
      <c r="F205" s="72" t="str">
        <f>IF(E205="","","This score is reported as a z-score")</f>
        <v>This score is reported as a z-score</v>
      </c>
      <c r="G205" s="73"/>
      <c r="H205" s="73"/>
      <c r="I205" s="72"/>
      <c r="J205" s="3"/>
      <c r="K205" s="3"/>
      <c r="L205"/>
      <c r="M205"/>
      <c r="O205" s="3"/>
      <c r="P205" s="3"/>
      <c r="Q205" s="211"/>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row>
    <row r="206" spans="1:63" s="7" customFormat="1" ht="12.75">
      <c r="A206" s="235"/>
      <c r="D206" s="23" t="s">
        <v>270</v>
      </c>
      <c r="E206" s="64">
        <f>IF('WJ III ACH'!$B$12="","",'WJ III ACH'!$B$12)</f>
        <v>98</v>
      </c>
      <c r="F206" s="72" t="str">
        <f>IF(E206="","","This score is reported as a z-score")</f>
        <v>This score is reported as a z-score</v>
      </c>
      <c r="G206" s="65"/>
      <c r="H206" s="65"/>
      <c r="I206" s="65"/>
      <c r="J206"/>
      <c r="K206"/>
      <c r="L206"/>
      <c r="M206"/>
      <c r="O206" s="3"/>
      <c r="P206" s="3"/>
      <c r="Q206" s="211"/>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row>
    <row r="207" spans="1:63" s="7" customFormat="1" ht="4.5" customHeight="1">
      <c r="A207" s="235"/>
      <c r="D207" s="23"/>
      <c r="E207" s="65"/>
      <c r="F207" s="65"/>
      <c r="G207" s="65"/>
      <c r="H207" s="65"/>
      <c r="I207" s="65"/>
      <c r="J207"/>
      <c r="K207" s="3"/>
      <c r="L207"/>
      <c r="M207"/>
      <c r="O207" s="3"/>
      <c r="P207" s="3"/>
      <c r="Q207" s="211"/>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row>
    <row r="208" spans="1:63" s="7" customFormat="1" ht="5.25" customHeight="1">
      <c r="A208" s="235"/>
      <c r="B208" s="44"/>
      <c r="C208" s="44"/>
      <c r="D208" s="45"/>
      <c r="E208" s="68"/>
      <c r="F208" s="47"/>
      <c r="G208" s="47"/>
      <c r="H208" s="47"/>
      <c r="I208" s="48"/>
      <c r="J208" s="44"/>
      <c r="K208" s="44"/>
      <c r="L208"/>
      <c r="M208"/>
      <c r="O208" s="3"/>
      <c r="P208" s="3"/>
      <c r="Q208" s="211"/>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row>
    <row r="209" spans="1:63" s="7" customFormat="1" ht="4.5" customHeight="1">
      <c r="A209" s="235"/>
      <c r="B209" s="3"/>
      <c r="C209" s="3"/>
      <c r="F209" s="65"/>
      <c r="J209" s="3"/>
      <c r="K209" s="3"/>
      <c r="L209"/>
      <c r="M209"/>
      <c r="O209" s="3"/>
      <c r="P209" s="3"/>
      <c r="Q209" s="211"/>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row>
    <row r="210" spans="1:63" s="7" customFormat="1" ht="12.75">
      <c r="A210" s="235"/>
      <c r="B210" s="24"/>
      <c r="C210" s="3"/>
      <c r="D210" s="36" t="s">
        <v>271</v>
      </c>
      <c r="E210" s="66">
        <f>IF(C66="","",C66)</f>
      </c>
      <c r="F210" s="25">
        <f>IF(E210="","",E57)</f>
      </c>
      <c r="G210" s="234">
        <f>IF(F210="","",F57)</f>
      </c>
      <c r="H210" s="234"/>
      <c r="I210" s="26">
        <f>IF(E210="","",H57)</f>
      </c>
      <c r="J210" s="3"/>
      <c r="K210" s="3"/>
      <c r="L210"/>
      <c r="M210"/>
      <c r="O210" s="3"/>
      <c r="P210" s="3"/>
      <c r="Q210" s="211"/>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row>
    <row r="211" spans="1:63" s="7" customFormat="1" ht="5.25" customHeight="1">
      <c r="A211" s="235"/>
      <c r="D211" s="3"/>
      <c r="J211" s="3"/>
      <c r="K211" s="3"/>
      <c r="L211"/>
      <c r="M211"/>
      <c r="O211" s="3"/>
      <c r="P211" s="3"/>
      <c r="Q211" s="211"/>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row>
    <row r="212" spans="1:63" s="7" customFormat="1" ht="12.75">
      <c r="A212" s="235"/>
      <c r="D212" s="23" t="s">
        <v>278</v>
      </c>
      <c r="E212" s="13">
        <f>IF(B13="","",B13)</f>
        <v>113</v>
      </c>
      <c r="F212" s="25" t="str">
        <f>IF(E212="","",LOOKUP(E212,conversion)&amp;" PR")</f>
        <v>81 PR</v>
      </c>
      <c r="G212" s="234" t="str">
        <f>IF(E212="","",-12+E212&amp;" to "&amp;E212+12)</f>
        <v>101 to 125</v>
      </c>
      <c r="H212" s="234"/>
      <c r="I212" s="26" t="str">
        <f>IF(E212="","",LOOKUP((-12+E212),$B$554:$H$555)&amp;" to "&amp;LOOKUP((12+E212),$B$554:$H$555))</f>
        <v>Average to Superior</v>
      </c>
      <c r="J212" s="3"/>
      <c r="K212" s="3"/>
      <c r="L212"/>
      <c r="M212"/>
      <c r="O212" s="3"/>
      <c r="P212" s="3"/>
      <c r="Q212" s="211"/>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row>
    <row r="213" spans="1:63" s="7" customFormat="1" ht="12.75">
      <c r="A213" s="235"/>
      <c r="D213" s="23" t="s">
        <v>272</v>
      </c>
      <c r="E213" s="13">
        <f>IF('WJ III ACH'!C39="","",'WJ III ACH'!C39)</f>
        <v>102</v>
      </c>
      <c r="F213" s="25" t="str">
        <f>IF(E213="","",LOOKUP(E213,conversion)&amp;" PR")</f>
        <v>55 PR</v>
      </c>
      <c r="G213" s="234" t="str">
        <f>IF(E213="","",-12+E213&amp;" to "&amp;E213+12)</f>
        <v>90 to 114</v>
      </c>
      <c r="H213" s="234"/>
      <c r="I213" s="26" t="str">
        <f>IF(E213="","",LOOKUP((-12+E213),$B$554:$H$555)&amp;" to "&amp;LOOKUP((12+E213),$B$554:$H$555))</f>
        <v>Average to High Average</v>
      </c>
      <c r="J213"/>
      <c r="K213"/>
      <c r="L213"/>
      <c r="M213"/>
      <c r="O213" s="3"/>
      <c r="P213" s="3"/>
      <c r="Q213" s="211"/>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row>
    <row r="214" spans="1:63" s="7" customFormat="1" ht="12.75">
      <c r="A214"/>
      <c r="D214"/>
      <c r="E214"/>
      <c r="F214"/>
      <c r="G214"/>
      <c r="H214"/>
      <c r="I214"/>
      <c r="J214"/>
      <c r="K214"/>
      <c r="L214"/>
      <c r="M214"/>
      <c r="O214" s="3"/>
      <c r="P214" s="3"/>
      <c r="Q214" s="211"/>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row>
    <row r="215" spans="1:63" s="7" customFormat="1" ht="12.75">
      <c r="A215"/>
      <c r="D215"/>
      <c r="E215"/>
      <c r="F215"/>
      <c r="G215"/>
      <c r="H215"/>
      <c r="I215"/>
      <c r="J215"/>
      <c r="K215"/>
      <c r="L215"/>
      <c r="M215"/>
      <c r="O215" s="3"/>
      <c r="P215" s="3"/>
      <c r="Q215" s="211"/>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row>
    <row r="216" spans="1:63" s="7" customFormat="1" ht="12.75">
      <c r="A216"/>
      <c r="B216"/>
      <c r="C216"/>
      <c r="D216"/>
      <c r="E216"/>
      <c r="F216"/>
      <c r="G216"/>
      <c r="H216"/>
      <c r="I216"/>
      <c r="J216"/>
      <c r="K216"/>
      <c r="L216"/>
      <c r="M216"/>
      <c r="O216" s="3"/>
      <c r="P216" s="3"/>
      <c r="Q216" s="211"/>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row>
    <row r="217" spans="15:63" s="7" customFormat="1" ht="11.25">
      <c r="O217" s="3"/>
      <c r="P217" s="3"/>
      <c r="Q217" s="211"/>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row>
    <row r="218" spans="1:63" s="7" customFormat="1" ht="12.75">
      <c r="A218"/>
      <c r="B218"/>
      <c r="C218"/>
      <c r="D218"/>
      <c r="E218"/>
      <c r="F218"/>
      <c r="G218"/>
      <c r="H218"/>
      <c r="I218"/>
      <c r="J218"/>
      <c r="K218"/>
      <c r="L218"/>
      <c r="M218"/>
      <c r="P218" s="3"/>
      <c r="Q218" s="211"/>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row>
    <row r="219" spans="1:63" s="7" customFormat="1" ht="12.75">
      <c r="A219"/>
      <c r="B219"/>
      <c r="C219"/>
      <c r="D219"/>
      <c r="E219"/>
      <c r="F219"/>
      <c r="G219"/>
      <c r="H219"/>
      <c r="I219"/>
      <c r="J219"/>
      <c r="K219"/>
      <c r="L219"/>
      <c r="M219"/>
      <c r="P219" s="3"/>
      <c r="Q219" s="211"/>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row>
    <row r="220" spans="1:63" s="7" customFormat="1" ht="12.75">
      <c r="A220"/>
      <c r="B220"/>
      <c r="C220"/>
      <c r="D220"/>
      <c r="E220"/>
      <c r="F220"/>
      <c r="G220"/>
      <c r="H220"/>
      <c r="I220"/>
      <c r="J220"/>
      <c r="K220"/>
      <c r="L220"/>
      <c r="M220"/>
      <c r="P220" s="3"/>
      <c r="Q220" s="211"/>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row>
    <row r="221" spans="1:63" s="7" customFormat="1" ht="12.75">
      <c r="A221"/>
      <c r="B221"/>
      <c r="C221"/>
      <c r="D221"/>
      <c r="E221"/>
      <c r="F221"/>
      <c r="G221"/>
      <c r="H221"/>
      <c r="I221"/>
      <c r="J221"/>
      <c r="K221"/>
      <c r="L221"/>
      <c r="M221"/>
      <c r="P221" s="3"/>
      <c r="Q221" s="211"/>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row>
    <row r="222" spans="1:63" s="7" customFormat="1" ht="12.75">
      <c r="A222"/>
      <c r="B222"/>
      <c r="C222"/>
      <c r="D222"/>
      <c r="E222"/>
      <c r="F222"/>
      <c r="G222"/>
      <c r="H222"/>
      <c r="I222"/>
      <c r="J222"/>
      <c r="K222"/>
      <c r="L222"/>
      <c r="M222"/>
      <c r="P222" s="3"/>
      <c r="Q222" s="211"/>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row>
    <row r="223" spans="1:63" s="7" customFormat="1" ht="12.75">
      <c r="A223"/>
      <c r="B223"/>
      <c r="C223"/>
      <c r="D223"/>
      <c r="E223"/>
      <c r="F223"/>
      <c r="G223"/>
      <c r="H223"/>
      <c r="I223"/>
      <c r="J223"/>
      <c r="K223"/>
      <c r="L223"/>
      <c r="M223"/>
      <c r="P223" s="3"/>
      <c r="Q223" s="211"/>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row>
    <row r="224" spans="1:63" s="7" customFormat="1" ht="12.75">
      <c r="A224"/>
      <c r="B224"/>
      <c r="C224"/>
      <c r="D224"/>
      <c r="E224"/>
      <c r="F224"/>
      <c r="G224"/>
      <c r="H224"/>
      <c r="I224"/>
      <c r="J224"/>
      <c r="K224"/>
      <c r="L224"/>
      <c r="M224"/>
      <c r="P224" s="3"/>
      <c r="Q224" s="211"/>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row>
    <row r="225" spans="1:63" s="7" customFormat="1" ht="12.75">
      <c r="A225"/>
      <c r="B225"/>
      <c r="C225"/>
      <c r="D225"/>
      <c r="E225"/>
      <c r="F225"/>
      <c r="G225"/>
      <c r="H225"/>
      <c r="I225"/>
      <c r="J225"/>
      <c r="K225"/>
      <c r="L225"/>
      <c r="M225"/>
      <c r="P225" s="3"/>
      <c r="Q225" s="211"/>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row>
    <row r="226" spans="1:63" s="7" customFormat="1" ht="12.75">
      <c r="A226"/>
      <c r="B226"/>
      <c r="C226"/>
      <c r="D226"/>
      <c r="E226"/>
      <c r="F226"/>
      <c r="G226"/>
      <c r="H226"/>
      <c r="I226"/>
      <c r="J226"/>
      <c r="K226"/>
      <c r="L226"/>
      <c r="M226"/>
      <c r="N226" s="1"/>
      <c r="O226" s="1"/>
      <c r="P226" s="3"/>
      <c r="Q226" s="211"/>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row>
    <row r="227" spans="1:63" s="7" customFormat="1" ht="12.75">
      <c r="A227"/>
      <c r="B227"/>
      <c r="C227"/>
      <c r="D227"/>
      <c r="E227"/>
      <c r="F227"/>
      <c r="G227"/>
      <c r="H227"/>
      <c r="I227"/>
      <c r="J227"/>
      <c r="K227"/>
      <c r="L227"/>
      <c r="M227"/>
      <c r="N227" s="1"/>
      <c r="O227" s="1"/>
      <c r="P227" s="3"/>
      <c r="Q227" s="211"/>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row>
    <row r="228" spans="1:63" s="7" customFormat="1" ht="12.75">
      <c r="A228"/>
      <c r="B228"/>
      <c r="C228"/>
      <c r="D228"/>
      <c r="E228"/>
      <c r="F228"/>
      <c r="G228"/>
      <c r="H228"/>
      <c r="I228"/>
      <c r="J228"/>
      <c r="K228"/>
      <c r="L228"/>
      <c r="M228"/>
      <c r="N228" s="1"/>
      <c r="O228" s="1"/>
      <c r="P228" s="3"/>
      <c r="Q228" s="211"/>
      <c r="R228" s="213"/>
      <c r="S228" s="213"/>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3"/>
      <c r="AU228" s="213"/>
      <c r="AV228" s="213"/>
      <c r="AW228" s="213"/>
      <c r="AX228" s="213"/>
      <c r="AY228" s="213"/>
      <c r="AZ228" s="213"/>
      <c r="BA228" s="213"/>
      <c r="BB228" s="213"/>
      <c r="BC228" s="213"/>
      <c r="BD228" s="213"/>
      <c r="BE228" s="213"/>
      <c r="BF228" s="213"/>
      <c r="BG228" s="213"/>
      <c r="BH228" s="213"/>
      <c r="BI228" s="213"/>
      <c r="BJ228" s="213"/>
      <c r="BK228" s="213"/>
    </row>
    <row r="229" spans="1:63" s="7" customFormat="1" ht="12.75">
      <c r="A229"/>
      <c r="B229"/>
      <c r="C229"/>
      <c r="D229"/>
      <c r="E229"/>
      <c r="F229"/>
      <c r="G229"/>
      <c r="H229"/>
      <c r="I229"/>
      <c r="J229"/>
      <c r="K229"/>
      <c r="L229"/>
      <c r="M229"/>
      <c r="N229" s="1"/>
      <c r="O229" s="1"/>
      <c r="P229" s="3"/>
      <c r="Q229" s="211"/>
      <c r="R229" s="213"/>
      <c r="S229" s="213"/>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3"/>
      <c r="AU229" s="213"/>
      <c r="AV229" s="213"/>
      <c r="AW229" s="213"/>
      <c r="AX229" s="213"/>
      <c r="AY229" s="213"/>
      <c r="AZ229" s="213"/>
      <c r="BA229" s="213"/>
      <c r="BB229" s="213"/>
      <c r="BC229" s="213"/>
      <c r="BD229" s="213"/>
      <c r="BE229" s="213"/>
      <c r="BF229" s="213"/>
      <c r="BG229" s="213"/>
      <c r="BH229" s="213"/>
      <c r="BI229" s="213"/>
      <c r="BJ229" s="213"/>
      <c r="BK229" s="213"/>
    </row>
    <row r="230" spans="1:63" s="7" customFormat="1" ht="12.75">
      <c r="A230"/>
      <c r="B230"/>
      <c r="C230"/>
      <c r="D230"/>
      <c r="E230"/>
      <c r="F230"/>
      <c r="G230"/>
      <c r="H230"/>
      <c r="I230"/>
      <c r="J230"/>
      <c r="K230"/>
      <c r="L230"/>
      <c r="M230"/>
      <c r="N230" s="1"/>
      <c r="O230" s="1"/>
      <c r="P230" s="3"/>
      <c r="Q230" s="211"/>
      <c r="R230" s="213"/>
      <c r="S230" s="213"/>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3"/>
      <c r="AU230" s="213"/>
      <c r="AV230" s="213"/>
      <c r="AW230" s="213"/>
      <c r="AX230" s="213"/>
      <c r="AY230" s="213"/>
      <c r="AZ230" s="213"/>
      <c r="BA230" s="213"/>
      <c r="BB230" s="213"/>
      <c r="BC230" s="213"/>
      <c r="BD230" s="213"/>
      <c r="BE230" s="213"/>
      <c r="BF230" s="213"/>
      <c r="BG230" s="213"/>
      <c r="BH230" s="213"/>
      <c r="BI230" s="213"/>
      <c r="BJ230" s="213"/>
      <c r="BK230" s="213"/>
    </row>
    <row r="231" spans="1:63" s="7" customFormat="1" ht="12.75">
      <c r="A231"/>
      <c r="B231"/>
      <c r="C231"/>
      <c r="D231"/>
      <c r="E231"/>
      <c r="F231"/>
      <c r="G231"/>
      <c r="H231"/>
      <c r="I231"/>
      <c r="J231"/>
      <c r="K231"/>
      <c r="L231"/>
      <c r="M231"/>
      <c r="N231" s="1"/>
      <c r="O231" s="1"/>
      <c r="P231" s="3"/>
      <c r="Q231" s="211"/>
      <c r="R231" s="213"/>
      <c r="S231" s="213"/>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3"/>
      <c r="AU231" s="213"/>
      <c r="AV231" s="213"/>
      <c r="AW231" s="213"/>
      <c r="AX231" s="213"/>
      <c r="AY231" s="213"/>
      <c r="AZ231" s="213"/>
      <c r="BA231" s="213"/>
      <c r="BB231" s="213"/>
      <c r="BC231" s="213"/>
      <c r="BD231" s="213"/>
      <c r="BE231" s="213"/>
      <c r="BF231" s="213"/>
      <c r="BG231" s="213"/>
      <c r="BH231" s="213"/>
      <c r="BI231" s="213"/>
      <c r="BJ231" s="213"/>
      <c r="BK231" s="213"/>
    </row>
    <row r="232" spans="1:63" s="7" customFormat="1" ht="12.75">
      <c r="A232"/>
      <c r="B232"/>
      <c r="C232"/>
      <c r="D232"/>
      <c r="E232"/>
      <c r="F232"/>
      <c r="G232"/>
      <c r="H232"/>
      <c r="I232"/>
      <c r="J232"/>
      <c r="K232"/>
      <c r="L232"/>
      <c r="M232"/>
      <c r="N232" s="1"/>
      <c r="O232" s="1"/>
      <c r="P232" s="3"/>
      <c r="Q232" s="211"/>
      <c r="R232" s="213"/>
      <c r="S232" s="213"/>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3"/>
      <c r="AU232" s="213"/>
      <c r="AV232" s="213"/>
      <c r="AW232" s="213"/>
      <c r="AX232" s="213"/>
      <c r="AY232" s="213"/>
      <c r="AZ232" s="213"/>
      <c r="BA232" s="213"/>
      <c r="BB232" s="213"/>
      <c r="BC232" s="213"/>
      <c r="BD232" s="213"/>
      <c r="BE232" s="213"/>
      <c r="BF232" s="213"/>
      <c r="BG232" s="213"/>
      <c r="BH232" s="213"/>
      <c r="BI232" s="213"/>
      <c r="BJ232" s="213"/>
      <c r="BK232" s="213"/>
    </row>
    <row r="233" spans="1:63" s="7" customFormat="1" ht="12.75">
      <c r="A233"/>
      <c r="B233"/>
      <c r="C233"/>
      <c r="D233"/>
      <c r="E233"/>
      <c r="F233"/>
      <c r="G233"/>
      <c r="H233"/>
      <c r="I233"/>
      <c r="J233"/>
      <c r="K233"/>
      <c r="L233"/>
      <c r="M233"/>
      <c r="N233" s="1"/>
      <c r="O233" s="1"/>
      <c r="P233" s="3"/>
      <c r="Q233" s="211"/>
      <c r="R233" s="213"/>
      <c r="S233" s="213"/>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3"/>
      <c r="AU233" s="213"/>
      <c r="AV233" s="213"/>
      <c r="AW233" s="213"/>
      <c r="AX233" s="213"/>
      <c r="AY233" s="213"/>
      <c r="AZ233" s="213"/>
      <c r="BA233" s="213"/>
      <c r="BB233" s="213"/>
      <c r="BC233" s="213"/>
      <c r="BD233" s="213"/>
      <c r="BE233" s="213"/>
      <c r="BF233" s="213"/>
      <c r="BG233" s="213"/>
      <c r="BH233" s="213"/>
      <c r="BI233" s="213"/>
      <c r="BJ233" s="213"/>
      <c r="BK233" s="213"/>
    </row>
    <row r="234" spans="1:63" s="7" customFormat="1" ht="12.75">
      <c r="A234"/>
      <c r="B234"/>
      <c r="C234"/>
      <c r="D234"/>
      <c r="E234"/>
      <c r="F234"/>
      <c r="G234"/>
      <c r="H234"/>
      <c r="I234"/>
      <c r="J234"/>
      <c r="K234"/>
      <c r="L234"/>
      <c r="M234"/>
      <c r="N234" s="1"/>
      <c r="O234" s="1"/>
      <c r="P234" s="3"/>
      <c r="Q234" s="211"/>
      <c r="R234" s="213"/>
      <c r="S234" s="213"/>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3"/>
      <c r="AU234" s="213"/>
      <c r="AV234" s="213"/>
      <c r="AW234" s="213"/>
      <c r="AX234" s="213"/>
      <c r="AY234" s="213"/>
      <c r="AZ234" s="213"/>
      <c r="BA234" s="213"/>
      <c r="BB234" s="213"/>
      <c r="BC234" s="213"/>
      <c r="BD234" s="213"/>
      <c r="BE234" s="213"/>
      <c r="BF234" s="213"/>
      <c r="BG234" s="213"/>
      <c r="BH234" s="213"/>
      <c r="BI234" s="213"/>
      <c r="BJ234" s="213"/>
      <c r="BK234" s="213"/>
    </row>
    <row r="235" spans="1:63" s="7" customFormat="1" ht="12.75">
      <c r="A235"/>
      <c r="B235"/>
      <c r="C235"/>
      <c r="D235"/>
      <c r="E235"/>
      <c r="F235"/>
      <c r="G235"/>
      <c r="H235"/>
      <c r="I235"/>
      <c r="J235"/>
      <c r="K235"/>
      <c r="L235"/>
      <c r="M235"/>
      <c r="N235" s="1"/>
      <c r="O235" s="1"/>
      <c r="P235" s="3"/>
      <c r="Q235" s="211"/>
      <c r="R235" s="213"/>
      <c r="S235" s="213"/>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3"/>
      <c r="AU235" s="213"/>
      <c r="AV235" s="213"/>
      <c r="AW235" s="213"/>
      <c r="AX235" s="213"/>
      <c r="AY235" s="213"/>
      <c r="AZ235" s="213"/>
      <c r="BA235" s="213"/>
      <c r="BB235" s="213"/>
      <c r="BC235" s="213"/>
      <c r="BD235" s="213"/>
      <c r="BE235" s="213"/>
      <c r="BF235" s="213"/>
      <c r="BG235" s="213"/>
      <c r="BH235" s="213"/>
      <c r="BI235" s="213"/>
      <c r="BJ235" s="213"/>
      <c r="BK235" s="213"/>
    </row>
    <row r="236" spans="1:63" s="7" customFormat="1" ht="12.75">
      <c r="A236"/>
      <c r="B236"/>
      <c r="C236"/>
      <c r="D236"/>
      <c r="E236"/>
      <c r="F236"/>
      <c r="G236"/>
      <c r="H236"/>
      <c r="I236"/>
      <c r="J236"/>
      <c r="K236"/>
      <c r="L236"/>
      <c r="M236"/>
      <c r="N236" s="1"/>
      <c r="O236" s="1"/>
      <c r="P236" s="3"/>
      <c r="Q236" s="211"/>
      <c r="R236" s="213"/>
      <c r="S236" s="213"/>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3"/>
      <c r="AU236" s="213"/>
      <c r="AV236" s="213"/>
      <c r="AW236" s="213"/>
      <c r="AX236" s="213"/>
      <c r="AY236" s="213"/>
      <c r="AZ236" s="213"/>
      <c r="BA236" s="213"/>
      <c r="BB236" s="213"/>
      <c r="BC236" s="213"/>
      <c r="BD236" s="213"/>
      <c r="BE236" s="213"/>
      <c r="BF236" s="213"/>
      <c r="BG236" s="213"/>
      <c r="BH236" s="213"/>
      <c r="BI236" s="213"/>
      <c r="BJ236" s="213"/>
      <c r="BK236" s="213"/>
    </row>
    <row r="237" spans="1:63" s="7" customFormat="1" ht="12.75">
      <c r="A237"/>
      <c r="B237"/>
      <c r="C237"/>
      <c r="D237"/>
      <c r="E237"/>
      <c r="F237"/>
      <c r="G237"/>
      <c r="H237"/>
      <c r="I237"/>
      <c r="J237"/>
      <c r="K237"/>
      <c r="L237"/>
      <c r="M237"/>
      <c r="N237" s="1"/>
      <c r="O237" s="1"/>
      <c r="P237" s="3"/>
      <c r="Q237" s="211"/>
      <c r="R237" s="213"/>
      <c r="S237" s="213"/>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3"/>
      <c r="AU237" s="213"/>
      <c r="AV237" s="213"/>
      <c r="AW237" s="213"/>
      <c r="AX237" s="213"/>
      <c r="AY237" s="213"/>
      <c r="AZ237" s="213"/>
      <c r="BA237" s="213"/>
      <c r="BB237" s="213"/>
      <c r="BC237" s="213"/>
      <c r="BD237" s="213"/>
      <c r="BE237" s="213"/>
      <c r="BF237" s="213"/>
      <c r="BG237" s="213"/>
      <c r="BH237" s="213"/>
      <c r="BI237" s="213"/>
      <c r="BJ237" s="213"/>
      <c r="BK237" s="213"/>
    </row>
    <row r="238" spans="1:63" s="7" customFormat="1" ht="12.75">
      <c r="A238"/>
      <c r="B238"/>
      <c r="C238"/>
      <c r="D238"/>
      <c r="E238"/>
      <c r="F238"/>
      <c r="G238"/>
      <c r="H238"/>
      <c r="I238"/>
      <c r="J238"/>
      <c r="K238"/>
      <c r="L238"/>
      <c r="M238"/>
      <c r="N238" s="1"/>
      <c r="O238" s="1"/>
      <c r="P238" s="3"/>
      <c r="Q238" s="211"/>
      <c r="R238" s="213"/>
      <c r="S238" s="213"/>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3"/>
      <c r="AU238" s="213"/>
      <c r="AV238" s="213"/>
      <c r="AW238" s="213"/>
      <c r="AX238" s="213"/>
      <c r="AY238" s="213"/>
      <c r="AZ238" s="213"/>
      <c r="BA238" s="213"/>
      <c r="BB238" s="213"/>
      <c r="BC238" s="213"/>
      <c r="BD238" s="213"/>
      <c r="BE238" s="213"/>
      <c r="BF238" s="213"/>
      <c r="BG238" s="213"/>
      <c r="BH238" s="213"/>
      <c r="BI238" s="213"/>
      <c r="BJ238" s="213"/>
      <c r="BK238" s="213"/>
    </row>
    <row r="239" spans="1:63" s="7" customFormat="1" ht="12.75">
      <c r="A239"/>
      <c r="B239"/>
      <c r="C239"/>
      <c r="D239"/>
      <c r="E239"/>
      <c r="F239"/>
      <c r="G239"/>
      <c r="H239"/>
      <c r="I239"/>
      <c r="J239"/>
      <c r="K239"/>
      <c r="L239"/>
      <c r="M239"/>
      <c r="N239" s="1"/>
      <c r="O239" s="1"/>
      <c r="P239" s="3"/>
      <c r="Q239" s="211"/>
      <c r="R239" s="213"/>
      <c r="S239" s="213"/>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3"/>
      <c r="AU239" s="213"/>
      <c r="AV239" s="213"/>
      <c r="AW239" s="213"/>
      <c r="AX239" s="213"/>
      <c r="AY239" s="213"/>
      <c r="AZ239" s="213"/>
      <c r="BA239" s="213"/>
      <c r="BB239" s="213"/>
      <c r="BC239" s="213"/>
      <c r="BD239" s="213"/>
      <c r="BE239" s="213"/>
      <c r="BF239" s="213"/>
      <c r="BG239" s="213"/>
      <c r="BH239" s="213"/>
      <c r="BI239" s="213"/>
      <c r="BJ239" s="213"/>
      <c r="BK239" s="213"/>
    </row>
    <row r="240" spans="1:28" ht="12.75">
      <c r="A240"/>
      <c r="B240"/>
      <c r="C240"/>
      <c r="D240"/>
      <c r="E240"/>
      <c r="F240"/>
      <c r="G240"/>
      <c r="H240"/>
      <c r="I240"/>
      <c r="J240"/>
      <c r="K240"/>
      <c r="L240"/>
      <c r="M240"/>
      <c r="N240" s="1"/>
      <c r="O240" s="1"/>
      <c r="V240" s="211"/>
      <c r="W240" s="211"/>
      <c r="X240" s="211"/>
      <c r="Y240" s="211"/>
      <c r="AB240" s="211"/>
    </row>
    <row r="241" spans="1:28" ht="12.75">
      <c r="A241"/>
      <c r="B241"/>
      <c r="C241"/>
      <c r="D241"/>
      <c r="E241"/>
      <c r="F241"/>
      <c r="G241"/>
      <c r="H241"/>
      <c r="I241"/>
      <c r="J241"/>
      <c r="K241"/>
      <c r="L241"/>
      <c r="M241"/>
      <c r="N241" s="1"/>
      <c r="O241" s="1"/>
      <c r="V241" s="211"/>
      <c r="W241" s="211"/>
      <c r="X241" s="211"/>
      <c r="Y241" s="211"/>
      <c r="AB241" s="211"/>
    </row>
    <row r="242" spans="1:28" ht="12.75">
      <c r="A242"/>
      <c r="B242"/>
      <c r="C242"/>
      <c r="D242"/>
      <c r="E242"/>
      <c r="F242"/>
      <c r="G242"/>
      <c r="H242"/>
      <c r="I242"/>
      <c r="J242"/>
      <c r="K242"/>
      <c r="L242"/>
      <c r="M242"/>
      <c r="N242" s="1"/>
      <c r="O242" s="1"/>
      <c r="V242" s="211"/>
      <c r="W242" s="211"/>
      <c r="X242" s="211"/>
      <c r="Y242" s="211"/>
      <c r="AB242" s="211"/>
    </row>
    <row r="243" spans="1:28" ht="12.75">
      <c r="A243"/>
      <c r="B243"/>
      <c r="C243"/>
      <c r="D243"/>
      <c r="E243"/>
      <c r="F243"/>
      <c r="G243"/>
      <c r="H243"/>
      <c r="I243"/>
      <c r="J243"/>
      <c r="K243"/>
      <c r="L243"/>
      <c r="M243"/>
      <c r="N243" s="1"/>
      <c r="O243" s="1"/>
      <c r="V243" s="211"/>
      <c r="W243" s="211"/>
      <c r="X243" s="211"/>
      <c r="Y243" s="211"/>
      <c r="AB243" s="211"/>
    </row>
    <row r="244" spans="1:28" ht="12.75">
      <c r="A244"/>
      <c r="B244"/>
      <c r="C244"/>
      <c r="D244"/>
      <c r="E244"/>
      <c r="F244"/>
      <c r="G244"/>
      <c r="H244"/>
      <c r="I244"/>
      <c r="J244"/>
      <c r="K244"/>
      <c r="L244"/>
      <c r="M244"/>
      <c r="N244" s="1"/>
      <c r="O244" s="1"/>
      <c r="V244" s="211"/>
      <c r="W244" s="211"/>
      <c r="X244" s="211"/>
      <c r="Y244" s="211"/>
      <c r="AB244" s="211"/>
    </row>
    <row r="245" spans="1:63" s="7" customFormat="1" ht="12.75">
      <c r="A245"/>
      <c r="B245"/>
      <c r="C245"/>
      <c r="D245"/>
      <c r="E245"/>
      <c r="F245"/>
      <c r="G245"/>
      <c r="H245"/>
      <c r="I245"/>
      <c r="J245"/>
      <c r="K245"/>
      <c r="L245"/>
      <c r="M245"/>
      <c r="N245" s="1"/>
      <c r="O245" s="1"/>
      <c r="Q245" s="213"/>
      <c r="R245" s="213"/>
      <c r="S245" s="213"/>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3"/>
      <c r="AU245" s="213"/>
      <c r="AV245" s="213"/>
      <c r="AW245" s="213"/>
      <c r="AX245" s="213"/>
      <c r="AY245" s="213"/>
      <c r="AZ245" s="213"/>
      <c r="BA245" s="213"/>
      <c r="BB245" s="213"/>
      <c r="BC245" s="213"/>
      <c r="BD245" s="213"/>
      <c r="BE245" s="213"/>
      <c r="BF245" s="213"/>
      <c r="BG245" s="213"/>
      <c r="BH245" s="213"/>
      <c r="BI245" s="213"/>
      <c r="BJ245" s="213"/>
      <c r="BK245" s="213"/>
    </row>
    <row r="246" spans="1:63" s="7" customFormat="1" ht="12.75">
      <c r="A246"/>
      <c r="B246"/>
      <c r="C246"/>
      <c r="D246"/>
      <c r="E246"/>
      <c r="F246"/>
      <c r="G246"/>
      <c r="H246"/>
      <c r="I246"/>
      <c r="J246"/>
      <c r="K246"/>
      <c r="L246"/>
      <c r="M246"/>
      <c r="N246" s="1"/>
      <c r="O246" s="1"/>
      <c r="P246" s="3"/>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1"/>
      <c r="AQ246" s="211"/>
      <c r="AR246" s="211"/>
      <c r="AS246" s="211"/>
      <c r="AT246" s="213"/>
      <c r="AU246" s="213"/>
      <c r="AV246" s="213"/>
      <c r="AW246" s="213"/>
      <c r="AX246" s="213"/>
      <c r="AY246" s="213"/>
      <c r="AZ246" s="213"/>
      <c r="BA246" s="213"/>
      <c r="BB246" s="213"/>
      <c r="BC246" s="213"/>
      <c r="BD246" s="213"/>
      <c r="BE246" s="213"/>
      <c r="BF246" s="213"/>
      <c r="BG246" s="213"/>
      <c r="BH246" s="213"/>
      <c r="BI246" s="213"/>
      <c r="BJ246" s="213"/>
      <c r="BK246" s="213"/>
    </row>
    <row r="247" spans="1:63" s="7" customFormat="1" ht="12.75">
      <c r="A247"/>
      <c r="B247"/>
      <c r="C247"/>
      <c r="D247"/>
      <c r="E247"/>
      <c r="F247"/>
      <c r="G247"/>
      <c r="H247"/>
      <c r="I247"/>
      <c r="J247"/>
      <c r="K247"/>
      <c r="L247"/>
      <c r="M247"/>
      <c r="N247" s="1"/>
      <c r="O247" s="1"/>
      <c r="P247" s="3"/>
      <c r="Q247" s="211"/>
      <c r="R247" s="211"/>
      <c r="S247" s="211"/>
      <c r="T247" s="211"/>
      <c r="U247" s="211"/>
      <c r="V247" s="211"/>
      <c r="W247" s="211"/>
      <c r="X247" s="211"/>
      <c r="Y247" s="211"/>
      <c r="Z247" s="211"/>
      <c r="AA247" s="211"/>
      <c r="AB247" s="211"/>
      <c r="AC247" s="211"/>
      <c r="AD247" s="211"/>
      <c r="AE247" s="211"/>
      <c r="AF247" s="211"/>
      <c r="AG247" s="211"/>
      <c r="AH247" s="211"/>
      <c r="AI247" s="211"/>
      <c r="AJ247" s="211"/>
      <c r="AK247" s="211"/>
      <c r="AL247" s="211"/>
      <c r="AM247" s="211"/>
      <c r="AN247" s="211"/>
      <c r="AO247" s="211"/>
      <c r="AP247" s="211"/>
      <c r="AQ247" s="211"/>
      <c r="AR247" s="211"/>
      <c r="AS247" s="211"/>
      <c r="AT247" s="213"/>
      <c r="AU247" s="213"/>
      <c r="AV247" s="213"/>
      <c r="AW247" s="213"/>
      <c r="AX247" s="213"/>
      <c r="AY247" s="213"/>
      <c r="AZ247" s="213"/>
      <c r="BA247" s="213"/>
      <c r="BB247" s="213"/>
      <c r="BC247" s="213"/>
      <c r="BD247" s="213"/>
      <c r="BE247" s="213"/>
      <c r="BF247" s="213"/>
      <c r="BG247" s="213"/>
      <c r="BH247" s="213"/>
      <c r="BI247" s="213"/>
      <c r="BJ247" s="213"/>
      <c r="BK247" s="213"/>
    </row>
    <row r="248" spans="1:63" s="7" customFormat="1" ht="12.75">
      <c r="A248"/>
      <c r="B248"/>
      <c r="C248"/>
      <c r="D248"/>
      <c r="E248"/>
      <c r="F248"/>
      <c r="G248"/>
      <c r="H248"/>
      <c r="I248"/>
      <c r="J248"/>
      <c r="K248"/>
      <c r="L248"/>
      <c r="M248"/>
      <c r="N248" s="1"/>
      <c r="O248" s="1"/>
      <c r="P248" s="3"/>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211"/>
      <c r="AO248" s="211"/>
      <c r="AP248" s="211"/>
      <c r="AQ248" s="211"/>
      <c r="AR248" s="211"/>
      <c r="AS248" s="211"/>
      <c r="AT248" s="213"/>
      <c r="AU248" s="213"/>
      <c r="AV248" s="213"/>
      <c r="AW248" s="213"/>
      <c r="AX248" s="213"/>
      <c r="AY248" s="213"/>
      <c r="AZ248" s="213"/>
      <c r="BA248" s="213"/>
      <c r="BB248" s="213"/>
      <c r="BC248" s="213"/>
      <c r="BD248" s="213"/>
      <c r="BE248" s="213"/>
      <c r="BF248" s="213"/>
      <c r="BG248" s="213"/>
      <c r="BH248" s="213"/>
      <c r="BI248" s="213"/>
      <c r="BJ248" s="213"/>
      <c r="BK248" s="213"/>
    </row>
    <row r="249" spans="1:63" s="7" customFormat="1" ht="12.75">
      <c r="A249"/>
      <c r="B249"/>
      <c r="C249"/>
      <c r="D249"/>
      <c r="E249"/>
      <c r="F249"/>
      <c r="G249"/>
      <c r="H249"/>
      <c r="I249"/>
      <c r="J249"/>
      <c r="K249"/>
      <c r="L249"/>
      <c r="M249"/>
      <c r="N249" s="1"/>
      <c r="O249" s="1"/>
      <c r="P249" s="3"/>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3"/>
      <c r="AU249" s="213"/>
      <c r="AV249" s="213"/>
      <c r="AW249" s="213"/>
      <c r="AX249" s="213"/>
      <c r="AY249" s="213"/>
      <c r="AZ249" s="213"/>
      <c r="BA249" s="213"/>
      <c r="BB249" s="213"/>
      <c r="BC249" s="213"/>
      <c r="BD249" s="213"/>
      <c r="BE249" s="213"/>
      <c r="BF249" s="213"/>
      <c r="BG249" s="213"/>
      <c r="BH249" s="213"/>
      <c r="BI249" s="213"/>
      <c r="BJ249" s="213"/>
      <c r="BK249" s="213"/>
    </row>
    <row r="250" spans="1:63" s="7" customFormat="1" ht="12.75">
      <c r="A250"/>
      <c r="B250"/>
      <c r="C250"/>
      <c r="D250"/>
      <c r="E250"/>
      <c r="F250"/>
      <c r="G250"/>
      <c r="H250"/>
      <c r="I250"/>
      <c r="J250"/>
      <c r="K250"/>
      <c r="L250"/>
      <c r="M250"/>
      <c r="N250" s="1"/>
      <c r="O250" s="1"/>
      <c r="P250" s="3"/>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3"/>
      <c r="AU250" s="213"/>
      <c r="AV250" s="213"/>
      <c r="AW250" s="213"/>
      <c r="AX250" s="213"/>
      <c r="AY250" s="213"/>
      <c r="AZ250" s="213"/>
      <c r="BA250" s="213"/>
      <c r="BB250" s="213"/>
      <c r="BC250" s="213"/>
      <c r="BD250" s="213"/>
      <c r="BE250" s="213"/>
      <c r="BF250" s="213"/>
      <c r="BG250" s="213"/>
      <c r="BH250" s="213"/>
      <c r="BI250" s="213"/>
      <c r="BJ250" s="213"/>
      <c r="BK250" s="213"/>
    </row>
    <row r="251" spans="3:63" s="7" customFormat="1" ht="11.25">
      <c r="C251" s="3"/>
      <c r="D251" s="1"/>
      <c r="E251" s="1"/>
      <c r="F251" s="1"/>
      <c r="G251" s="1"/>
      <c r="H251" s="1"/>
      <c r="I251" s="1"/>
      <c r="J251" s="3"/>
      <c r="K251" s="1"/>
      <c r="L251" s="1"/>
      <c r="M251" s="1"/>
      <c r="N251" s="1"/>
      <c r="O251" s="1"/>
      <c r="P251" s="3"/>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3"/>
      <c r="AU251" s="213"/>
      <c r="AV251" s="213"/>
      <c r="AW251" s="213"/>
      <c r="AX251" s="213"/>
      <c r="AY251" s="213"/>
      <c r="AZ251" s="213"/>
      <c r="BA251" s="213"/>
      <c r="BB251" s="213"/>
      <c r="BC251" s="213"/>
      <c r="BD251" s="213"/>
      <c r="BE251" s="213"/>
      <c r="BF251" s="213"/>
      <c r="BG251" s="213"/>
      <c r="BH251" s="213"/>
      <c r="BI251" s="213"/>
      <c r="BJ251" s="213"/>
      <c r="BK251" s="213"/>
    </row>
    <row r="252" spans="3:63" s="7" customFormat="1" ht="11.25">
      <c r="C252" s="3"/>
      <c r="D252" s="1"/>
      <c r="E252" s="1"/>
      <c r="F252" s="1"/>
      <c r="G252" s="1"/>
      <c r="H252" s="1"/>
      <c r="I252" s="1"/>
      <c r="J252" s="3"/>
      <c r="K252" s="1"/>
      <c r="L252" s="1"/>
      <c r="M252" s="1"/>
      <c r="N252" s="1"/>
      <c r="O252" s="1"/>
      <c r="P252" s="3"/>
      <c r="Q252" s="211"/>
      <c r="R252" s="211"/>
      <c r="S252" s="211"/>
      <c r="T252" s="211"/>
      <c r="U252" s="211"/>
      <c r="V252" s="211"/>
      <c r="W252" s="211"/>
      <c r="X252" s="211"/>
      <c r="Y252" s="211"/>
      <c r="Z252" s="211"/>
      <c r="AA252" s="211"/>
      <c r="AB252" s="211"/>
      <c r="AC252" s="211"/>
      <c r="AD252" s="211"/>
      <c r="AE252" s="211"/>
      <c r="AF252" s="211"/>
      <c r="AG252" s="211"/>
      <c r="AH252" s="211"/>
      <c r="AI252" s="211"/>
      <c r="AJ252" s="211"/>
      <c r="AK252" s="211"/>
      <c r="AL252" s="211"/>
      <c r="AM252" s="211"/>
      <c r="AN252" s="211"/>
      <c r="AO252" s="211"/>
      <c r="AP252" s="211"/>
      <c r="AQ252" s="211"/>
      <c r="AR252" s="211"/>
      <c r="AS252" s="211"/>
      <c r="AT252" s="213"/>
      <c r="AU252" s="213"/>
      <c r="AV252" s="213"/>
      <c r="AW252" s="213"/>
      <c r="AX252" s="213"/>
      <c r="AY252" s="213"/>
      <c r="AZ252" s="213"/>
      <c r="BA252" s="213"/>
      <c r="BB252" s="213"/>
      <c r="BC252" s="213"/>
      <c r="BD252" s="213"/>
      <c r="BE252" s="213"/>
      <c r="BF252" s="213"/>
      <c r="BG252" s="213"/>
      <c r="BH252" s="213"/>
      <c r="BI252" s="213"/>
      <c r="BJ252" s="213"/>
      <c r="BK252" s="213"/>
    </row>
    <row r="253" spans="3:63" s="7" customFormat="1" ht="11.25">
      <c r="C253" s="3"/>
      <c r="D253" s="1"/>
      <c r="E253" s="1"/>
      <c r="F253" s="1"/>
      <c r="G253" s="1"/>
      <c r="H253" s="1"/>
      <c r="I253" s="1"/>
      <c r="J253" s="3"/>
      <c r="K253" s="1"/>
      <c r="L253" s="1"/>
      <c r="M253" s="1"/>
      <c r="N253" s="1"/>
      <c r="O253" s="1"/>
      <c r="P253" s="3"/>
      <c r="Q253" s="211"/>
      <c r="R253" s="211"/>
      <c r="S253" s="211"/>
      <c r="T253" s="211"/>
      <c r="U253" s="211"/>
      <c r="V253" s="211"/>
      <c r="W253" s="211"/>
      <c r="X253" s="211"/>
      <c r="Y253" s="211"/>
      <c r="Z253" s="211"/>
      <c r="AA253" s="211"/>
      <c r="AB253" s="211"/>
      <c r="AC253" s="211"/>
      <c r="AD253" s="211"/>
      <c r="AE253" s="211"/>
      <c r="AF253" s="211"/>
      <c r="AG253" s="211"/>
      <c r="AH253" s="211"/>
      <c r="AI253" s="211"/>
      <c r="AJ253" s="211"/>
      <c r="AK253" s="211"/>
      <c r="AL253" s="211"/>
      <c r="AM253" s="211"/>
      <c r="AN253" s="211"/>
      <c r="AO253" s="211"/>
      <c r="AP253" s="211"/>
      <c r="AQ253" s="211"/>
      <c r="AR253" s="211"/>
      <c r="AS253" s="211"/>
      <c r="AT253" s="213"/>
      <c r="AU253" s="213"/>
      <c r="AV253" s="213"/>
      <c r="AW253" s="213"/>
      <c r="AX253" s="213"/>
      <c r="AY253" s="213"/>
      <c r="AZ253" s="213"/>
      <c r="BA253" s="213"/>
      <c r="BB253" s="213"/>
      <c r="BC253" s="213"/>
      <c r="BD253" s="213"/>
      <c r="BE253" s="213"/>
      <c r="BF253" s="213"/>
      <c r="BG253" s="213"/>
      <c r="BH253" s="213"/>
      <c r="BI253" s="213"/>
      <c r="BJ253" s="213"/>
      <c r="BK253" s="213"/>
    </row>
    <row r="254" spans="3:63" s="7" customFormat="1" ht="11.25">
      <c r="C254" s="3"/>
      <c r="D254" s="3"/>
      <c r="E254" s="3"/>
      <c r="F254" s="3"/>
      <c r="G254" s="3"/>
      <c r="H254" s="3"/>
      <c r="I254" s="3"/>
      <c r="J254" s="3"/>
      <c r="K254" s="1"/>
      <c r="L254" s="1"/>
      <c r="M254" s="1"/>
      <c r="N254" s="1"/>
      <c r="O254" s="1"/>
      <c r="P254" s="3"/>
      <c r="Q254" s="211"/>
      <c r="R254" s="211"/>
      <c r="S254" s="211"/>
      <c r="T254" s="211"/>
      <c r="U254" s="211"/>
      <c r="V254" s="211"/>
      <c r="W254" s="211"/>
      <c r="X254" s="211"/>
      <c r="Y254" s="211"/>
      <c r="Z254" s="211"/>
      <c r="AA254" s="211"/>
      <c r="AB254" s="211"/>
      <c r="AC254" s="211"/>
      <c r="AD254" s="211"/>
      <c r="AE254" s="211"/>
      <c r="AF254" s="211"/>
      <c r="AG254" s="211"/>
      <c r="AH254" s="211"/>
      <c r="AI254" s="211"/>
      <c r="AJ254" s="211"/>
      <c r="AK254" s="211"/>
      <c r="AL254" s="211"/>
      <c r="AM254" s="211"/>
      <c r="AN254" s="211"/>
      <c r="AO254" s="211"/>
      <c r="AP254" s="211"/>
      <c r="AQ254" s="211"/>
      <c r="AR254" s="211"/>
      <c r="AS254" s="211"/>
      <c r="AT254" s="213"/>
      <c r="AU254" s="213"/>
      <c r="AV254" s="213"/>
      <c r="AW254" s="213"/>
      <c r="AX254" s="213"/>
      <c r="AY254" s="213"/>
      <c r="AZ254" s="213"/>
      <c r="BA254" s="213"/>
      <c r="BB254" s="213"/>
      <c r="BC254" s="213"/>
      <c r="BD254" s="213"/>
      <c r="BE254" s="213"/>
      <c r="BF254" s="213"/>
      <c r="BG254" s="213"/>
      <c r="BH254" s="213"/>
      <c r="BI254" s="213"/>
      <c r="BJ254" s="213"/>
      <c r="BK254" s="213"/>
    </row>
    <row r="255" spans="3:63" s="7" customFormat="1" ht="11.25">
      <c r="C255" s="3"/>
      <c r="D255" s="3"/>
      <c r="E255" s="3"/>
      <c r="F255" s="3"/>
      <c r="G255" s="3"/>
      <c r="H255" s="3"/>
      <c r="I255" s="3"/>
      <c r="J255" s="3"/>
      <c r="K255" s="1"/>
      <c r="L255" s="1"/>
      <c r="M255" s="1"/>
      <c r="N255" s="1"/>
      <c r="O255" s="1"/>
      <c r="P255" s="3"/>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1"/>
      <c r="AO255" s="211"/>
      <c r="AP255" s="211"/>
      <c r="AQ255" s="211"/>
      <c r="AR255" s="211"/>
      <c r="AS255" s="211"/>
      <c r="AT255" s="213"/>
      <c r="AU255" s="213"/>
      <c r="AV255" s="213"/>
      <c r="AW255" s="213"/>
      <c r="AX255" s="213"/>
      <c r="AY255" s="213"/>
      <c r="AZ255" s="213"/>
      <c r="BA255" s="213"/>
      <c r="BB255" s="213"/>
      <c r="BC255" s="213"/>
      <c r="BD255" s="213"/>
      <c r="BE255" s="213"/>
      <c r="BF255" s="213"/>
      <c r="BG255" s="213"/>
      <c r="BH255" s="213"/>
      <c r="BI255" s="213"/>
      <c r="BJ255" s="213"/>
      <c r="BK255" s="213"/>
    </row>
    <row r="256" spans="1:63" s="7" customFormat="1" ht="11.25">
      <c r="A256" s="3"/>
      <c r="B256" s="3"/>
      <c r="C256" s="3"/>
      <c r="D256" s="3"/>
      <c r="E256" s="3"/>
      <c r="F256" s="3"/>
      <c r="G256" s="3"/>
      <c r="H256" s="3"/>
      <c r="I256" s="3"/>
      <c r="J256" s="3"/>
      <c r="K256" s="1"/>
      <c r="L256" s="1"/>
      <c r="M256" s="1"/>
      <c r="N256" s="1"/>
      <c r="O256" s="1"/>
      <c r="P256" s="3"/>
      <c r="Q256" s="211"/>
      <c r="R256" s="211"/>
      <c r="S256" s="211"/>
      <c r="T256" s="211"/>
      <c r="U256" s="211"/>
      <c r="V256" s="211"/>
      <c r="W256" s="211"/>
      <c r="X256" s="211"/>
      <c r="Y256" s="211"/>
      <c r="Z256" s="211"/>
      <c r="AA256" s="211"/>
      <c r="AB256" s="211"/>
      <c r="AC256" s="211"/>
      <c r="AD256" s="211"/>
      <c r="AE256" s="211"/>
      <c r="AF256" s="211"/>
      <c r="AG256" s="211"/>
      <c r="AH256" s="211"/>
      <c r="AI256" s="211"/>
      <c r="AJ256" s="211"/>
      <c r="AK256" s="211"/>
      <c r="AL256" s="211"/>
      <c r="AM256" s="211"/>
      <c r="AN256" s="211"/>
      <c r="AO256" s="211"/>
      <c r="AP256" s="211"/>
      <c r="AQ256" s="211"/>
      <c r="AR256" s="211"/>
      <c r="AS256" s="211"/>
      <c r="AT256" s="213"/>
      <c r="AU256" s="213"/>
      <c r="AV256" s="213"/>
      <c r="AW256" s="213"/>
      <c r="AX256" s="213"/>
      <c r="AY256" s="213"/>
      <c r="AZ256" s="213"/>
      <c r="BA256" s="213"/>
      <c r="BB256" s="213"/>
      <c r="BC256" s="213"/>
      <c r="BD256" s="213"/>
      <c r="BE256" s="213"/>
      <c r="BF256" s="213"/>
      <c r="BG256" s="213"/>
      <c r="BH256" s="213"/>
      <c r="BI256" s="213"/>
      <c r="BJ256" s="213"/>
      <c r="BK256" s="213"/>
    </row>
    <row r="257" spans="1:63" s="7" customFormat="1" ht="11.25">
      <c r="A257" s="3"/>
      <c r="B257" s="3"/>
      <c r="C257" s="3"/>
      <c r="D257" s="3"/>
      <c r="E257" s="3"/>
      <c r="F257" s="3"/>
      <c r="G257" s="3"/>
      <c r="H257" s="3"/>
      <c r="I257" s="3"/>
      <c r="J257" s="3"/>
      <c r="K257" s="1"/>
      <c r="L257" s="1"/>
      <c r="M257" s="1"/>
      <c r="N257" s="1"/>
      <c r="O257" s="1"/>
      <c r="P257" s="3"/>
      <c r="Q257" s="211"/>
      <c r="R257" s="211"/>
      <c r="S257" s="211"/>
      <c r="T257" s="211"/>
      <c r="U257" s="211"/>
      <c r="V257" s="211"/>
      <c r="W257" s="211"/>
      <c r="X257" s="211"/>
      <c r="Y257" s="211"/>
      <c r="Z257" s="211"/>
      <c r="AA257" s="211"/>
      <c r="AB257" s="211"/>
      <c r="AC257" s="211"/>
      <c r="AD257" s="211"/>
      <c r="AE257" s="211"/>
      <c r="AF257" s="211"/>
      <c r="AG257" s="211"/>
      <c r="AH257" s="211"/>
      <c r="AI257" s="211"/>
      <c r="AJ257" s="211"/>
      <c r="AK257" s="211"/>
      <c r="AL257" s="211"/>
      <c r="AM257" s="211"/>
      <c r="AN257" s="211"/>
      <c r="AO257" s="211"/>
      <c r="AP257" s="211"/>
      <c r="AQ257" s="211"/>
      <c r="AR257" s="211"/>
      <c r="AS257" s="211"/>
      <c r="AT257" s="213"/>
      <c r="AU257" s="213"/>
      <c r="AV257" s="213"/>
      <c r="AW257" s="213"/>
      <c r="AX257" s="213"/>
      <c r="AY257" s="213"/>
      <c r="AZ257" s="213"/>
      <c r="BA257" s="213"/>
      <c r="BB257" s="213"/>
      <c r="BC257" s="213"/>
      <c r="BD257" s="213"/>
      <c r="BE257" s="213"/>
      <c r="BF257" s="213"/>
      <c r="BG257" s="213"/>
      <c r="BH257" s="213"/>
      <c r="BI257" s="213"/>
      <c r="BJ257" s="213"/>
      <c r="BK257" s="213"/>
    </row>
    <row r="258" spans="1:63" s="7" customFormat="1" ht="11.25">
      <c r="A258" s="3"/>
      <c r="B258" s="3"/>
      <c r="C258" s="3"/>
      <c r="D258" s="3"/>
      <c r="E258" s="3"/>
      <c r="F258" s="3"/>
      <c r="G258" s="3"/>
      <c r="H258" s="3"/>
      <c r="I258" s="3"/>
      <c r="J258" s="3"/>
      <c r="K258" s="1"/>
      <c r="L258" s="1"/>
      <c r="M258" s="1"/>
      <c r="N258" s="1"/>
      <c r="O258" s="1"/>
      <c r="P258" s="3"/>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1"/>
      <c r="AO258" s="211"/>
      <c r="AP258" s="211"/>
      <c r="AQ258" s="211"/>
      <c r="AR258" s="211"/>
      <c r="AS258" s="211"/>
      <c r="AT258" s="213"/>
      <c r="AU258" s="213"/>
      <c r="AV258" s="213"/>
      <c r="AW258" s="213"/>
      <c r="AX258" s="213"/>
      <c r="AY258" s="213"/>
      <c r="AZ258" s="213"/>
      <c r="BA258" s="213"/>
      <c r="BB258" s="213"/>
      <c r="BC258" s="213"/>
      <c r="BD258" s="213"/>
      <c r="BE258" s="213"/>
      <c r="BF258" s="213"/>
      <c r="BG258" s="213"/>
      <c r="BH258" s="213"/>
      <c r="BI258" s="213"/>
      <c r="BJ258" s="213"/>
      <c r="BK258" s="213"/>
    </row>
    <row r="259" spans="1:63" s="7" customFormat="1" ht="11.25">
      <c r="A259" s="3"/>
      <c r="B259" s="3"/>
      <c r="C259" s="3"/>
      <c r="D259" s="3"/>
      <c r="E259" s="3"/>
      <c r="F259" s="3"/>
      <c r="G259" s="3"/>
      <c r="H259" s="3"/>
      <c r="I259" s="3"/>
      <c r="J259" s="3"/>
      <c r="K259" s="3"/>
      <c r="L259" s="3"/>
      <c r="M259" s="3"/>
      <c r="N259" s="3"/>
      <c r="O259" s="3"/>
      <c r="P259" s="3"/>
      <c r="Q259" s="211"/>
      <c r="R259" s="211"/>
      <c r="S259" s="211"/>
      <c r="T259" s="211"/>
      <c r="U259" s="211"/>
      <c r="V259" s="211"/>
      <c r="W259" s="211"/>
      <c r="X259" s="211"/>
      <c r="Y259" s="211"/>
      <c r="Z259" s="211"/>
      <c r="AA259" s="211"/>
      <c r="AB259" s="211"/>
      <c r="AC259" s="211"/>
      <c r="AD259" s="211"/>
      <c r="AE259" s="211"/>
      <c r="AF259" s="211"/>
      <c r="AG259" s="211"/>
      <c r="AH259" s="211"/>
      <c r="AI259" s="211"/>
      <c r="AJ259" s="211"/>
      <c r="AK259" s="211"/>
      <c r="AL259" s="211"/>
      <c r="AM259" s="211"/>
      <c r="AN259" s="211"/>
      <c r="AO259" s="211"/>
      <c r="AP259" s="211"/>
      <c r="AQ259" s="211"/>
      <c r="AR259" s="211"/>
      <c r="AS259" s="211"/>
      <c r="AT259" s="213"/>
      <c r="AU259" s="213"/>
      <c r="AV259" s="213"/>
      <c r="AW259" s="213"/>
      <c r="AX259" s="213"/>
      <c r="AY259" s="213"/>
      <c r="AZ259" s="213"/>
      <c r="BA259" s="213"/>
      <c r="BB259" s="213"/>
      <c r="BC259" s="213"/>
      <c r="BD259" s="213"/>
      <c r="BE259" s="213"/>
      <c r="BF259" s="213"/>
      <c r="BG259" s="213"/>
      <c r="BH259" s="213"/>
      <c r="BI259" s="213"/>
      <c r="BJ259" s="213"/>
      <c r="BK259" s="213"/>
    </row>
    <row r="260" spans="1:63" s="7" customFormat="1" ht="11.25">
      <c r="A260" s="3"/>
      <c r="B260" s="3"/>
      <c r="C260" s="3"/>
      <c r="D260" s="3"/>
      <c r="E260" s="3"/>
      <c r="F260" s="3"/>
      <c r="G260" s="3"/>
      <c r="H260" s="3"/>
      <c r="I260" s="3"/>
      <c r="J260" s="3"/>
      <c r="K260" s="3"/>
      <c r="L260" s="3"/>
      <c r="M260" s="3"/>
      <c r="N260" s="3"/>
      <c r="O260" s="3"/>
      <c r="P260" s="3"/>
      <c r="Q260" s="211"/>
      <c r="R260" s="211"/>
      <c r="S260" s="211"/>
      <c r="T260" s="211"/>
      <c r="U260" s="211"/>
      <c r="V260" s="211"/>
      <c r="W260" s="211"/>
      <c r="X260" s="211"/>
      <c r="Y260" s="211"/>
      <c r="Z260" s="211"/>
      <c r="AA260" s="211"/>
      <c r="AB260" s="211"/>
      <c r="AC260" s="211"/>
      <c r="AD260" s="211"/>
      <c r="AE260" s="211"/>
      <c r="AF260" s="211"/>
      <c r="AG260" s="211"/>
      <c r="AH260" s="211"/>
      <c r="AI260" s="211"/>
      <c r="AJ260" s="211"/>
      <c r="AK260" s="211"/>
      <c r="AL260" s="211"/>
      <c r="AM260" s="211"/>
      <c r="AN260" s="211"/>
      <c r="AO260" s="211"/>
      <c r="AP260" s="211"/>
      <c r="AQ260" s="211"/>
      <c r="AR260" s="211"/>
      <c r="AS260" s="211"/>
      <c r="AT260" s="213"/>
      <c r="AU260" s="213"/>
      <c r="AV260" s="213"/>
      <c r="AW260" s="213"/>
      <c r="AX260" s="213"/>
      <c r="AY260" s="213"/>
      <c r="AZ260" s="213"/>
      <c r="BA260" s="213"/>
      <c r="BB260" s="213"/>
      <c r="BC260" s="213"/>
      <c r="BD260" s="213"/>
      <c r="BE260" s="213"/>
      <c r="BF260" s="213"/>
      <c r="BG260" s="213"/>
      <c r="BH260" s="213"/>
      <c r="BI260" s="213"/>
      <c r="BJ260" s="213"/>
      <c r="BK260" s="213"/>
    </row>
    <row r="261" spans="1:63" s="7" customFormat="1" ht="11.25">
      <c r="A261" s="3"/>
      <c r="B261" s="3"/>
      <c r="C261" s="3"/>
      <c r="D261" s="3"/>
      <c r="E261" s="3"/>
      <c r="F261" s="3"/>
      <c r="G261" s="3"/>
      <c r="H261" s="3"/>
      <c r="I261" s="3"/>
      <c r="J261" s="3"/>
      <c r="K261" s="1"/>
      <c r="L261" s="1"/>
      <c r="M261" s="1"/>
      <c r="N261" s="1"/>
      <c r="O261" s="1"/>
      <c r="P261" s="3"/>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1"/>
      <c r="AO261" s="211"/>
      <c r="AP261" s="211"/>
      <c r="AQ261" s="211"/>
      <c r="AR261" s="211"/>
      <c r="AS261" s="211"/>
      <c r="AT261" s="213"/>
      <c r="AU261" s="213"/>
      <c r="AV261" s="213"/>
      <c r="AW261" s="213"/>
      <c r="AX261" s="213"/>
      <c r="AY261" s="213"/>
      <c r="AZ261" s="213"/>
      <c r="BA261" s="213"/>
      <c r="BB261" s="213"/>
      <c r="BC261" s="213"/>
      <c r="BD261" s="213"/>
      <c r="BE261" s="213"/>
      <c r="BF261" s="213"/>
      <c r="BG261" s="213"/>
      <c r="BH261" s="213"/>
      <c r="BI261" s="213"/>
      <c r="BJ261" s="213"/>
      <c r="BK261" s="213"/>
    </row>
    <row r="262" spans="1:63" s="7" customFormat="1" ht="11.25">
      <c r="A262" s="3"/>
      <c r="B262" s="3"/>
      <c r="C262" s="3"/>
      <c r="D262" s="3"/>
      <c r="E262" s="3"/>
      <c r="F262" s="3"/>
      <c r="G262" s="3"/>
      <c r="H262" s="3"/>
      <c r="I262" s="3"/>
      <c r="J262" s="3"/>
      <c r="K262" s="3"/>
      <c r="L262" s="3"/>
      <c r="M262" s="3"/>
      <c r="N262" s="3"/>
      <c r="O262" s="3"/>
      <c r="P262" s="3"/>
      <c r="Q262" s="211"/>
      <c r="R262" s="211"/>
      <c r="S262" s="211"/>
      <c r="T262" s="211"/>
      <c r="U262" s="211"/>
      <c r="V262" s="211"/>
      <c r="W262" s="211"/>
      <c r="X262" s="211"/>
      <c r="Y262" s="211"/>
      <c r="Z262" s="211"/>
      <c r="AA262" s="211"/>
      <c r="AB262" s="211"/>
      <c r="AC262" s="211"/>
      <c r="AD262" s="211"/>
      <c r="AE262" s="211"/>
      <c r="AF262" s="211"/>
      <c r="AG262" s="211"/>
      <c r="AH262" s="211"/>
      <c r="AI262" s="211"/>
      <c r="AJ262" s="211"/>
      <c r="AK262" s="211"/>
      <c r="AL262" s="211"/>
      <c r="AM262" s="211"/>
      <c r="AN262" s="211"/>
      <c r="AO262" s="211"/>
      <c r="AP262" s="211"/>
      <c r="AQ262" s="211"/>
      <c r="AR262" s="211"/>
      <c r="AS262" s="211"/>
      <c r="AT262" s="213"/>
      <c r="AU262" s="213"/>
      <c r="AV262" s="213"/>
      <c r="AW262" s="213"/>
      <c r="AX262" s="213"/>
      <c r="AY262" s="213"/>
      <c r="AZ262" s="213"/>
      <c r="BA262" s="213"/>
      <c r="BB262" s="213"/>
      <c r="BC262" s="213"/>
      <c r="BD262" s="213"/>
      <c r="BE262" s="213"/>
      <c r="BF262" s="213"/>
      <c r="BG262" s="213"/>
      <c r="BH262" s="213"/>
      <c r="BI262" s="213"/>
      <c r="BJ262" s="213"/>
      <c r="BK262" s="213"/>
    </row>
    <row r="263" spans="1:63" s="7" customFormat="1" ht="11.25">
      <c r="A263" s="3"/>
      <c r="B263" s="3"/>
      <c r="C263" s="3"/>
      <c r="D263" s="3"/>
      <c r="E263" s="3"/>
      <c r="F263" s="3"/>
      <c r="G263" s="3"/>
      <c r="H263" s="3"/>
      <c r="I263" s="3"/>
      <c r="J263" s="3"/>
      <c r="K263" s="3"/>
      <c r="L263" s="3"/>
      <c r="M263" s="3"/>
      <c r="N263" s="3"/>
      <c r="O263" s="3"/>
      <c r="P263" s="3"/>
      <c r="Q263" s="211"/>
      <c r="R263" s="211"/>
      <c r="S263" s="211"/>
      <c r="T263" s="211"/>
      <c r="U263" s="211"/>
      <c r="V263" s="211"/>
      <c r="W263" s="211"/>
      <c r="X263" s="211"/>
      <c r="Y263" s="211"/>
      <c r="Z263" s="211"/>
      <c r="AA263" s="211"/>
      <c r="AB263" s="211"/>
      <c r="AC263" s="211"/>
      <c r="AD263" s="211"/>
      <c r="AE263" s="211"/>
      <c r="AF263" s="211"/>
      <c r="AG263" s="211"/>
      <c r="AH263" s="211"/>
      <c r="AI263" s="211"/>
      <c r="AJ263" s="211"/>
      <c r="AK263" s="211"/>
      <c r="AL263" s="211"/>
      <c r="AM263" s="211"/>
      <c r="AN263" s="211"/>
      <c r="AO263" s="211"/>
      <c r="AP263" s="211"/>
      <c r="AQ263" s="211"/>
      <c r="AR263" s="211"/>
      <c r="AS263" s="211"/>
      <c r="AT263" s="213"/>
      <c r="AU263" s="213"/>
      <c r="AV263" s="213"/>
      <c r="AW263" s="213"/>
      <c r="AX263" s="213"/>
      <c r="AY263" s="213"/>
      <c r="AZ263" s="213"/>
      <c r="BA263" s="213"/>
      <c r="BB263" s="213"/>
      <c r="BC263" s="213"/>
      <c r="BD263" s="213"/>
      <c r="BE263" s="213"/>
      <c r="BF263" s="213"/>
      <c r="BG263" s="213"/>
      <c r="BH263" s="213"/>
      <c r="BI263" s="213"/>
      <c r="BJ263" s="213"/>
      <c r="BK263" s="213"/>
    </row>
    <row r="264" spans="1:63" s="7" customFormat="1" ht="11.25">
      <c r="A264" s="3"/>
      <c r="B264" s="3"/>
      <c r="C264" s="3"/>
      <c r="D264" s="3"/>
      <c r="E264" s="3"/>
      <c r="F264" s="3"/>
      <c r="G264" s="3"/>
      <c r="H264" s="3"/>
      <c r="I264" s="3"/>
      <c r="J264" s="3"/>
      <c r="K264" s="3"/>
      <c r="L264" s="3"/>
      <c r="M264" s="3"/>
      <c r="N264" s="3"/>
      <c r="O264" s="3"/>
      <c r="P264" s="3"/>
      <c r="Q264" s="211"/>
      <c r="R264" s="211"/>
      <c r="S264" s="211"/>
      <c r="T264" s="211"/>
      <c r="U264" s="211"/>
      <c r="V264" s="211"/>
      <c r="W264" s="211"/>
      <c r="X264" s="211"/>
      <c r="Y264" s="211"/>
      <c r="Z264" s="211"/>
      <c r="AA264" s="211"/>
      <c r="AB264" s="211"/>
      <c r="AC264" s="211"/>
      <c r="AD264" s="211"/>
      <c r="AE264" s="211"/>
      <c r="AF264" s="211"/>
      <c r="AG264" s="211"/>
      <c r="AH264" s="211"/>
      <c r="AI264" s="211"/>
      <c r="AJ264" s="211"/>
      <c r="AK264" s="211"/>
      <c r="AL264" s="211"/>
      <c r="AM264" s="211"/>
      <c r="AN264" s="211"/>
      <c r="AO264" s="211"/>
      <c r="AP264" s="211"/>
      <c r="AQ264" s="211"/>
      <c r="AR264" s="211"/>
      <c r="AS264" s="211"/>
      <c r="AT264" s="213"/>
      <c r="AU264" s="213"/>
      <c r="AV264" s="213"/>
      <c r="AW264" s="213"/>
      <c r="AX264" s="213"/>
      <c r="AY264" s="213"/>
      <c r="AZ264" s="213"/>
      <c r="BA264" s="213"/>
      <c r="BB264" s="213"/>
      <c r="BC264" s="213"/>
      <c r="BD264" s="213"/>
      <c r="BE264" s="213"/>
      <c r="BF264" s="213"/>
      <c r="BG264" s="213"/>
      <c r="BH264" s="213"/>
      <c r="BI264" s="213"/>
      <c r="BJ264" s="213"/>
      <c r="BK264" s="213"/>
    </row>
    <row r="265" spans="1:63" s="7" customFormat="1" ht="11.25">
      <c r="A265" s="3"/>
      <c r="B265" s="3"/>
      <c r="C265" s="3"/>
      <c r="D265" s="3"/>
      <c r="E265" s="3"/>
      <c r="F265" s="3"/>
      <c r="G265" s="3"/>
      <c r="H265" s="3"/>
      <c r="I265" s="3"/>
      <c r="J265" s="3"/>
      <c r="K265" s="3"/>
      <c r="L265" s="3"/>
      <c r="M265" s="3"/>
      <c r="N265" s="3"/>
      <c r="O265" s="3"/>
      <c r="P265" s="3"/>
      <c r="Q265" s="211"/>
      <c r="R265" s="211"/>
      <c r="S265" s="211"/>
      <c r="T265" s="211"/>
      <c r="U265" s="211"/>
      <c r="V265" s="211"/>
      <c r="W265" s="211"/>
      <c r="X265" s="211"/>
      <c r="Y265" s="211"/>
      <c r="Z265" s="211"/>
      <c r="AA265" s="211"/>
      <c r="AB265" s="211"/>
      <c r="AC265" s="211"/>
      <c r="AD265" s="211"/>
      <c r="AE265" s="211"/>
      <c r="AF265" s="211"/>
      <c r="AG265" s="211"/>
      <c r="AH265" s="211"/>
      <c r="AI265" s="211"/>
      <c r="AJ265" s="211"/>
      <c r="AK265" s="211"/>
      <c r="AL265" s="211"/>
      <c r="AM265" s="211"/>
      <c r="AN265" s="211"/>
      <c r="AO265" s="211"/>
      <c r="AP265" s="211"/>
      <c r="AQ265" s="211"/>
      <c r="AR265" s="211"/>
      <c r="AS265" s="211"/>
      <c r="AT265" s="213"/>
      <c r="AU265" s="213"/>
      <c r="AV265" s="213"/>
      <c r="AW265" s="213"/>
      <c r="AX265" s="213"/>
      <c r="AY265" s="213"/>
      <c r="AZ265" s="213"/>
      <c r="BA265" s="213"/>
      <c r="BB265" s="213"/>
      <c r="BC265" s="213"/>
      <c r="BD265" s="213"/>
      <c r="BE265" s="213"/>
      <c r="BF265" s="213"/>
      <c r="BG265" s="213"/>
      <c r="BH265" s="213"/>
      <c r="BI265" s="213"/>
      <c r="BJ265" s="213"/>
      <c r="BK265" s="213"/>
    </row>
    <row r="266" spans="1:63" s="7" customFormat="1" ht="11.25">
      <c r="A266" s="3"/>
      <c r="B266" s="3"/>
      <c r="C266" s="3"/>
      <c r="D266" s="3"/>
      <c r="E266" s="3"/>
      <c r="F266" s="3"/>
      <c r="G266" s="3"/>
      <c r="H266" s="3"/>
      <c r="I266" s="3"/>
      <c r="J266" s="3"/>
      <c r="K266" s="3"/>
      <c r="L266" s="3"/>
      <c r="M266" s="3"/>
      <c r="N266" s="3"/>
      <c r="O266" s="3"/>
      <c r="P266" s="3"/>
      <c r="Q266" s="211"/>
      <c r="R266" s="211"/>
      <c r="S266" s="211"/>
      <c r="T266" s="211"/>
      <c r="U266" s="211"/>
      <c r="V266" s="211"/>
      <c r="W266" s="211"/>
      <c r="X266" s="211"/>
      <c r="Y266" s="211"/>
      <c r="Z266" s="211"/>
      <c r="AA266" s="211"/>
      <c r="AB266" s="211"/>
      <c r="AC266" s="211"/>
      <c r="AD266" s="211"/>
      <c r="AE266" s="211"/>
      <c r="AF266" s="211"/>
      <c r="AG266" s="211"/>
      <c r="AH266" s="211"/>
      <c r="AI266" s="211"/>
      <c r="AJ266" s="211"/>
      <c r="AK266" s="211"/>
      <c r="AL266" s="211"/>
      <c r="AM266" s="211"/>
      <c r="AN266" s="211"/>
      <c r="AO266" s="211"/>
      <c r="AP266" s="211"/>
      <c r="AQ266" s="211"/>
      <c r="AR266" s="211"/>
      <c r="AS266" s="211"/>
      <c r="AT266" s="213"/>
      <c r="AU266" s="213"/>
      <c r="AV266" s="213"/>
      <c r="AW266" s="213"/>
      <c r="AX266" s="213"/>
      <c r="AY266" s="213"/>
      <c r="AZ266" s="213"/>
      <c r="BA266" s="213"/>
      <c r="BB266" s="213"/>
      <c r="BC266" s="213"/>
      <c r="BD266" s="213"/>
      <c r="BE266" s="213"/>
      <c r="BF266" s="213"/>
      <c r="BG266" s="213"/>
      <c r="BH266" s="213"/>
      <c r="BI266" s="213"/>
      <c r="BJ266" s="213"/>
      <c r="BK266" s="213"/>
    </row>
    <row r="267" spans="1:63" s="7" customFormat="1" ht="11.25">
      <c r="A267" s="3"/>
      <c r="B267" s="3"/>
      <c r="C267" s="3"/>
      <c r="D267" s="3"/>
      <c r="E267" s="3"/>
      <c r="F267" s="3"/>
      <c r="G267" s="3"/>
      <c r="H267" s="3"/>
      <c r="I267" s="3"/>
      <c r="J267" s="3"/>
      <c r="K267" s="3"/>
      <c r="L267" s="3"/>
      <c r="M267" s="3"/>
      <c r="N267" s="3"/>
      <c r="O267" s="3"/>
      <c r="P267" s="3"/>
      <c r="Q267" s="211"/>
      <c r="R267" s="211"/>
      <c r="S267" s="211"/>
      <c r="T267" s="211"/>
      <c r="U267" s="211"/>
      <c r="V267" s="211"/>
      <c r="W267" s="211"/>
      <c r="X267" s="211"/>
      <c r="Y267" s="211"/>
      <c r="Z267" s="211"/>
      <c r="AA267" s="211"/>
      <c r="AB267" s="211"/>
      <c r="AC267" s="211"/>
      <c r="AD267" s="211"/>
      <c r="AE267" s="211"/>
      <c r="AF267" s="211"/>
      <c r="AG267" s="211"/>
      <c r="AH267" s="211"/>
      <c r="AI267" s="211"/>
      <c r="AJ267" s="211"/>
      <c r="AK267" s="211"/>
      <c r="AL267" s="211"/>
      <c r="AM267" s="211"/>
      <c r="AN267" s="211"/>
      <c r="AO267" s="211"/>
      <c r="AP267" s="211"/>
      <c r="AQ267" s="211"/>
      <c r="AR267" s="211"/>
      <c r="AS267" s="211"/>
      <c r="AT267" s="213"/>
      <c r="AU267" s="213"/>
      <c r="AV267" s="213"/>
      <c r="AW267" s="213"/>
      <c r="AX267" s="213"/>
      <c r="AY267" s="213"/>
      <c r="AZ267" s="213"/>
      <c r="BA267" s="213"/>
      <c r="BB267" s="213"/>
      <c r="BC267" s="213"/>
      <c r="BD267" s="213"/>
      <c r="BE267" s="213"/>
      <c r="BF267" s="213"/>
      <c r="BG267" s="213"/>
      <c r="BH267" s="213"/>
      <c r="BI267" s="213"/>
      <c r="BJ267" s="213"/>
      <c r="BK267" s="213"/>
    </row>
    <row r="268" spans="1:63" s="7" customFormat="1" ht="11.25">
      <c r="A268" s="3"/>
      <c r="B268" s="3"/>
      <c r="C268" s="3"/>
      <c r="D268" s="3"/>
      <c r="E268" s="3"/>
      <c r="F268" s="3"/>
      <c r="G268" s="3"/>
      <c r="H268" s="3"/>
      <c r="I268" s="3"/>
      <c r="J268" s="3"/>
      <c r="K268" s="3"/>
      <c r="L268" s="3"/>
      <c r="M268" s="3"/>
      <c r="N268" s="3"/>
      <c r="O268" s="3"/>
      <c r="P268" s="3"/>
      <c r="Q268" s="211"/>
      <c r="R268" s="211"/>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3"/>
      <c r="AU268" s="213"/>
      <c r="AV268" s="213"/>
      <c r="AW268" s="213"/>
      <c r="AX268" s="213"/>
      <c r="AY268" s="213"/>
      <c r="AZ268" s="213"/>
      <c r="BA268" s="213"/>
      <c r="BB268" s="213"/>
      <c r="BC268" s="213"/>
      <c r="BD268" s="213"/>
      <c r="BE268" s="213"/>
      <c r="BF268" s="213"/>
      <c r="BG268" s="213"/>
      <c r="BH268" s="213"/>
      <c r="BI268" s="213"/>
      <c r="BJ268" s="213"/>
      <c r="BK268" s="213"/>
    </row>
    <row r="269" spans="1:63" s="7" customFormat="1" ht="11.25">
      <c r="A269" s="3"/>
      <c r="B269" s="3"/>
      <c r="C269" s="3"/>
      <c r="D269" s="3"/>
      <c r="E269" s="3"/>
      <c r="F269" s="3"/>
      <c r="G269" s="3"/>
      <c r="H269" s="3"/>
      <c r="I269" s="3"/>
      <c r="J269" s="3"/>
      <c r="K269" s="3"/>
      <c r="L269" s="3"/>
      <c r="M269" s="3"/>
      <c r="N269" s="3"/>
      <c r="O269" s="3"/>
      <c r="P269" s="3"/>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11"/>
      <c r="AS269" s="211"/>
      <c r="AT269" s="213"/>
      <c r="AU269" s="213"/>
      <c r="AV269" s="213"/>
      <c r="AW269" s="213"/>
      <c r="AX269" s="213"/>
      <c r="AY269" s="213"/>
      <c r="AZ269" s="213"/>
      <c r="BA269" s="213"/>
      <c r="BB269" s="213"/>
      <c r="BC269" s="213"/>
      <c r="BD269" s="213"/>
      <c r="BE269" s="213"/>
      <c r="BF269" s="213"/>
      <c r="BG269" s="213"/>
      <c r="BH269" s="213"/>
      <c r="BI269" s="213"/>
      <c r="BJ269" s="213"/>
      <c r="BK269" s="213"/>
    </row>
    <row r="270" spans="1:63" s="7" customFormat="1" ht="11.25">
      <c r="A270" s="3"/>
      <c r="B270" s="3"/>
      <c r="C270" s="3"/>
      <c r="D270" s="3"/>
      <c r="E270" s="3"/>
      <c r="F270" s="3"/>
      <c r="G270" s="3"/>
      <c r="H270" s="3"/>
      <c r="I270" s="3"/>
      <c r="J270" s="3"/>
      <c r="K270" s="3"/>
      <c r="L270" s="3"/>
      <c r="M270" s="3"/>
      <c r="N270" s="3"/>
      <c r="O270" s="3"/>
      <c r="P270" s="3"/>
      <c r="Q270" s="211"/>
      <c r="R270" s="211"/>
      <c r="S270" s="211"/>
      <c r="T270" s="211"/>
      <c r="U270" s="211"/>
      <c r="V270" s="211"/>
      <c r="W270" s="211"/>
      <c r="X270" s="211"/>
      <c r="Y270" s="211"/>
      <c r="Z270" s="211"/>
      <c r="AA270" s="211"/>
      <c r="AB270" s="211"/>
      <c r="AC270" s="211"/>
      <c r="AD270" s="211"/>
      <c r="AE270" s="211"/>
      <c r="AF270" s="211"/>
      <c r="AG270" s="211"/>
      <c r="AH270" s="211"/>
      <c r="AI270" s="211"/>
      <c r="AJ270" s="211"/>
      <c r="AK270" s="211"/>
      <c r="AL270" s="211"/>
      <c r="AM270" s="211"/>
      <c r="AN270" s="211"/>
      <c r="AO270" s="211"/>
      <c r="AP270" s="211"/>
      <c r="AQ270" s="211"/>
      <c r="AR270" s="211"/>
      <c r="AS270" s="211"/>
      <c r="AT270" s="213"/>
      <c r="AU270" s="213"/>
      <c r="AV270" s="213"/>
      <c r="AW270" s="213"/>
      <c r="AX270" s="213"/>
      <c r="AY270" s="213"/>
      <c r="AZ270" s="213"/>
      <c r="BA270" s="213"/>
      <c r="BB270" s="213"/>
      <c r="BC270" s="213"/>
      <c r="BD270" s="213"/>
      <c r="BE270" s="213"/>
      <c r="BF270" s="213"/>
      <c r="BG270" s="213"/>
      <c r="BH270" s="213"/>
      <c r="BI270" s="213"/>
      <c r="BJ270" s="213"/>
      <c r="BK270" s="213"/>
    </row>
    <row r="271" spans="1:63" s="7" customFormat="1" ht="11.25">
      <c r="A271" s="3"/>
      <c r="B271" s="3"/>
      <c r="C271" s="3"/>
      <c r="D271" s="3"/>
      <c r="E271" s="3"/>
      <c r="F271" s="3"/>
      <c r="G271" s="3"/>
      <c r="H271" s="3"/>
      <c r="I271" s="3"/>
      <c r="J271" s="3"/>
      <c r="K271" s="3"/>
      <c r="L271" s="3"/>
      <c r="M271" s="3"/>
      <c r="N271" s="3"/>
      <c r="O271" s="3"/>
      <c r="P271" s="3"/>
      <c r="Q271" s="211"/>
      <c r="R271" s="211"/>
      <c r="S271" s="211"/>
      <c r="T271" s="211"/>
      <c r="U271" s="211"/>
      <c r="V271" s="211"/>
      <c r="W271" s="211"/>
      <c r="X271" s="211"/>
      <c r="Y271" s="211"/>
      <c r="Z271" s="211"/>
      <c r="AA271" s="211"/>
      <c r="AB271" s="211"/>
      <c r="AC271" s="211"/>
      <c r="AD271" s="211"/>
      <c r="AE271" s="211"/>
      <c r="AF271" s="211"/>
      <c r="AG271" s="211"/>
      <c r="AH271" s="211"/>
      <c r="AI271" s="211"/>
      <c r="AJ271" s="211"/>
      <c r="AK271" s="211"/>
      <c r="AL271" s="211"/>
      <c r="AM271" s="211"/>
      <c r="AN271" s="211"/>
      <c r="AO271" s="211"/>
      <c r="AP271" s="211"/>
      <c r="AQ271" s="211"/>
      <c r="AR271" s="211"/>
      <c r="AS271" s="211"/>
      <c r="AT271" s="213"/>
      <c r="AU271" s="213"/>
      <c r="AV271" s="213"/>
      <c r="AW271" s="213"/>
      <c r="AX271" s="213"/>
      <c r="AY271" s="213"/>
      <c r="AZ271" s="213"/>
      <c r="BA271" s="213"/>
      <c r="BB271" s="213"/>
      <c r="BC271" s="213"/>
      <c r="BD271" s="213"/>
      <c r="BE271" s="213"/>
      <c r="BF271" s="213"/>
      <c r="BG271" s="213"/>
      <c r="BH271" s="213"/>
      <c r="BI271" s="213"/>
      <c r="BJ271" s="213"/>
      <c r="BK271" s="213"/>
    </row>
    <row r="272" spans="1:63" s="7" customFormat="1" ht="11.25">
      <c r="A272" s="3"/>
      <c r="B272" s="3"/>
      <c r="C272" s="3"/>
      <c r="D272" s="3"/>
      <c r="E272" s="3"/>
      <c r="F272" s="3"/>
      <c r="G272" s="3"/>
      <c r="H272" s="3"/>
      <c r="I272" s="3"/>
      <c r="J272" s="3"/>
      <c r="K272" s="3"/>
      <c r="L272" s="3"/>
      <c r="M272" s="3"/>
      <c r="N272" s="3"/>
      <c r="O272" s="3"/>
      <c r="P272" s="3"/>
      <c r="Q272" s="211"/>
      <c r="R272" s="211"/>
      <c r="S272" s="211"/>
      <c r="T272" s="211"/>
      <c r="U272" s="211"/>
      <c r="V272" s="211"/>
      <c r="W272" s="211"/>
      <c r="X272" s="211"/>
      <c r="Y272" s="211"/>
      <c r="Z272" s="211"/>
      <c r="AA272" s="211"/>
      <c r="AB272" s="211"/>
      <c r="AC272" s="211"/>
      <c r="AD272" s="211"/>
      <c r="AE272" s="211"/>
      <c r="AF272" s="211"/>
      <c r="AG272" s="211"/>
      <c r="AH272" s="211"/>
      <c r="AI272" s="211"/>
      <c r="AJ272" s="211"/>
      <c r="AK272" s="211"/>
      <c r="AL272" s="211"/>
      <c r="AM272" s="211"/>
      <c r="AN272" s="211"/>
      <c r="AO272" s="211"/>
      <c r="AP272" s="211"/>
      <c r="AQ272" s="211"/>
      <c r="AR272" s="211"/>
      <c r="AS272" s="211"/>
      <c r="AT272" s="213"/>
      <c r="AU272" s="213"/>
      <c r="AV272" s="213"/>
      <c r="AW272" s="213"/>
      <c r="AX272" s="213"/>
      <c r="AY272" s="213"/>
      <c r="AZ272" s="213"/>
      <c r="BA272" s="213"/>
      <c r="BB272" s="213"/>
      <c r="BC272" s="213"/>
      <c r="BD272" s="213"/>
      <c r="BE272" s="213"/>
      <c r="BF272" s="213"/>
      <c r="BG272" s="213"/>
      <c r="BH272" s="213"/>
      <c r="BI272" s="213"/>
      <c r="BJ272" s="213"/>
      <c r="BK272" s="213"/>
    </row>
    <row r="273" spans="1:63" s="7" customFormat="1" ht="11.25">
      <c r="A273" s="3"/>
      <c r="B273" s="3"/>
      <c r="C273" s="3"/>
      <c r="D273" s="3"/>
      <c r="E273" s="3"/>
      <c r="F273" s="3"/>
      <c r="G273" s="3"/>
      <c r="H273" s="3"/>
      <c r="I273" s="3"/>
      <c r="J273" s="3"/>
      <c r="K273" s="3"/>
      <c r="L273" s="3"/>
      <c r="M273" s="3"/>
      <c r="N273" s="3"/>
      <c r="O273" s="3"/>
      <c r="P273" s="3"/>
      <c r="Q273" s="211"/>
      <c r="R273" s="211"/>
      <c r="S273" s="211"/>
      <c r="T273" s="211"/>
      <c r="U273" s="211"/>
      <c r="V273" s="211"/>
      <c r="W273" s="211"/>
      <c r="X273" s="211"/>
      <c r="Y273" s="211"/>
      <c r="Z273" s="211"/>
      <c r="AA273" s="211"/>
      <c r="AB273" s="211"/>
      <c r="AC273" s="211"/>
      <c r="AD273" s="211"/>
      <c r="AE273" s="211"/>
      <c r="AF273" s="211"/>
      <c r="AG273" s="211"/>
      <c r="AH273" s="211"/>
      <c r="AI273" s="211"/>
      <c r="AJ273" s="211"/>
      <c r="AK273" s="211"/>
      <c r="AL273" s="211"/>
      <c r="AM273" s="211"/>
      <c r="AN273" s="211"/>
      <c r="AO273" s="211"/>
      <c r="AP273" s="211"/>
      <c r="AQ273" s="211"/>
      <c r="AR273" s="211"/>
      <c r="AS273" s="211"/>
      <c r="AT273" s="213"/>
      <c r="AU273" s="213"/>
      <c r="AV273" s="213"/>
      <c r="AW273" s="213"/>
      <c r="AX273" s="213"/>
      <c r="AY273" s="213"/>
      <c r="AZ273" s="213"/>
      <c r="BA273" s="213"/>
      <c r="BB273" s="213"/>
      <c r="BC273" s="213"/>
      <c r="BD273" s="213"/>
      <c r="BE273" s="213"/>
      <c r="BF273" s="213"/>
      <c r="BG273" s="213"/>
      <c r="BH273" s="213"/>
      <c r="BI273" s="213"/>
      <c r="BJ273" s="213"/>
      <c r="BK273" s="213"/>
    </row>
    <row r="274" spans="1:63" s="7" customFormat="1" ht="11.25">
      <c r="A274" s="3"/>
      <c r="B274" s="3"/>
      <c r="C274" s="3"/>
      <c r="D274" s="3"/>
      <c r="E274" s="3"/>
      <c r="F274" s="3"/>
      <c r="G274" s="3"/>
      <c r="H274" s="3"/>
      <c r="I274" s="3"/>
      <c r="J274" s="3"/>
      <c r="K274" s="3"/>
      <c r="L274" s="3"/>
      <c r="M274" s="3"/>
      <c r="N274" s="3"/>
      <c r="O274" s="3"/>
      <c r="P274" s="3"/>
      <c r="Q274" s="211"/>
      <c r="R274" s="211"/>
      <c r="S274" s="211"/>
      <c r="T274" s="211"/>
      <c r="U274" s="211"/>
      <c r="V274" s="211"/>
      <c r="W274" s="211"/>
      <c r="X274" s="211"/>
      <c r="Y274" s="211"/>
      <c r="Z274" s="211"/>
      <c r="AA274" s="211"/>
      <c r="AB274" s="211"/>
      <c r="AC274" s="211"/>
      <c r="AD274" s="211"/>
      <c r="AE274" s="211"/>
      <c r="AF274" s="211"/>
      <c r="AG274" s="211"/>
      <c r="AH274" s="211"/>
      <c r="AI274" s="211"/>
      <c r="AJ274" s="211"/>
      <c r="AK274" s="211"/>
      <c r="AL274" s="211"/>
      <c r="AM274" s="211"/>
      <c r="AN274" s="211"/>
      <c r="AO274" s="211"/>
      <c r="AP274" s="211"/>
      <c r="AQ274" s="211"/>
      <c r="AR274" s="211"/>
      <c r="AS274" s="211"/>
      <c r="AT274" s="213"/>
      <c r="AU274" s="213"/>
      <c r="AV274" s="213"/>
      <c r="AW274" s="213"/>
      <c r="AX274" s="213"/>
      <c r="AY274" s="213"/>
      <c r="AZ274" s="213"/>
      <c r="BA274" s="213"/>
      <c r="BB274" s="213"/>
      <c r="BC274" s="213"/>
      <c r="BD274" s="213"/>
      <c r="BE274" s="213"/>
      <c r="BF274" s="213"/>
      <c r="BG274" s="213"/>
      <c r="BH274" s="213"/>
      <c r="BI274" s="213"/>
      <c r="BJ274" s="213"/>
      <c r="BK274" s="213"/>
    </row>
    <row r="275" spans="1:63" s="7" customFormat="1" ht="11.25">
      <c r="A275" s="3"/>
      <c r="B275" s="3"/>
      <c r="C275" s="3"/>
      <c r="D275" s="3"/>
      <c r="E275" s="3"/>
      <c r="F275" s="3"/>
      <c r="G275" s="3"/>
      <c r="H275" s="3"/>
      <c r="I275" s="3"/>
      <c r="J275" s="3"/>
      <c r="K275" s="3"/>
      <c r="L275" s="3"/>
      <c r="M275" s="3"/>
      <c r="N275" s="3"/>
      <c r="O275" s="3"/>
      <c r="P275" s="3"/>
      <c r="Q275" s="211"/>
      <c r="R275" s="211"/>
      <c r="S275" s="211"/>
      <c r="T275" s="211"/>
      <c r="U275" s="211"/>
      <c r="V275" s="211"/>
      <c r="W275" s="211"/>
      <c r="X275" s="211"/>
      <c r="Y275" s="211"/>
      <c r="Z275" s="211"/>
      <c r="AA275" s="211"/>
      <c r="AB275" s="211"/>
      <c r="AC275" s="211"/>
      <c r="AD275" s="211"/>
      <c r="AE275" s="211"/>
      <c r="AF275" s="211"/>
      <c r="AG275" s="211"/>
      <c r="AH275" s="211"/>
      <c r="AI275" s="211"/>
      <c r="AJ275" s="211"/>
      <c r="AK275" s="211"/>
      <c r="AL275" s="211"/>
      <c r="AM275" s="211"/>
      <c r="AN275" s="211"/>
      <c r="AO275" s="211"/>
      <c r="AP275" s="211"/>
      <c r="AQ275" s="211"/>
      <c r="AR275" s="211"/>
      <c r="AS275" s="211"/>
      <c r="AT275" s="213"/>
      <c r="AU275" s="213"/>
      <c r="AV275" s="213"/>
      <c r="AW275" s="213"/>
      <c r="AX275" s="213"/>
      <c r="AY275" s="213"/>
      <c r="AZ275" s="213"/>
      <c r="BA275" s="213"/>
      <c r="BB275" s="213"/>
      <c r="BC275" s="213"/>
      <c r="BD275" s="213"/>
      <c r="BE275" s="213"/>
      <c r="BF275" s="213"/>
      <c r="BG275" s="213"/>
      <c r="BH275" s="213"/>
      <c r="BI275" s="213"/>
      <c r="BJ275" s="213"/>
      <c r="BK275" s="213"/>
    </row>
    <row r="276" spans="1:63" s="7" customFormat="1" ht="11.25">
      <c r="A276" s="3"/>
      <c r="B276" s="3"/>
      <c r="C276" s="3"/>
      <c r="D276" s="3"/>
      <c r="E276" s="3"/>
      <c r="F276" s="3"/>
      <c r="G276" s="3"/>
      <c r="H276" s="3"/>
      <c r="I276" s="3"/>
      <c r="J276" s="3"/>
      <c r="K276" s="3"/>
      <c r="L276" s="3"/>
      <c r="M276" s="3"/>
      <c r="N276" s="3"/>
      <c r="O276" s="3"/>
      <c r="P276" s="3"/>
      <c r="Q276" s="211"/>
      <c r="R276" s="211"/>
      <c r="S276" s="211"/>
      <c r="T276" s="211"/>
      <c r="U276" s="211"/>
      <c r="V276" s="211"/>
      <c r="W276" s="211"/>
      <c r="X276" s="211"/>
      <c r="Y276" s="211"/>
      <c r="Z276" s="211"/>
      <c r="AA276" s="211"/>
      <c r="AB276" s="211"/>
      <c r="AC276" s="211"/>
      <c r="AD276" s="211"/>
      <c r="AE276" s="211"/>
      <c r="AF276" s="211"/>
      <c r="AG276" s="211"/>
      <c r="AH276" s="211"/>
      <c r="AI276" s="211"/>
      <c r="AJ276" s="211"/>
      <c r="AK276" s="211"/>
      <c r="AL276" s="211"/>
      <c r="AM276" s="211"/>
      <c r="AN276" s="211"/>
      <c r="AO276" s="211"/>
      <c r="AP276" s="211"/>
      <c r="AQ276" s="211"/>
      <c r="AR276" s="211"/>
      <c r="AS276" s="211"/>
      <c r="AT276" s="213"/>
      <c r="AU276" s="213"/>
      <c r="AV276" s="213"/>
      <c r="AW276" s="213"/>
      <c r="AX276" s="213"/>
      <c r="AY276" s="213"/>
      <c r="AZ276" s="213"/>
      <c r="BA276" s="213"/>
      <c r="BB276" s="213"/>
      <c r="BC276" s="213"/>
      <c r="BD276" s="213"/>
      <c r="BE276" s="213"/>
      <c r="BF276" s="213"/>
      <c r="BG276" s="213"/>
      <c r="BH276" s="213"/>
      <c r="BI276" s="213"/>
      <c r="BJ276" s="213"/>
      <c r="BK276" s="213"/>
    </row>
    <row r="277" spans="1:63" s="7" customFormat="1" ht="11.25">
      <c r="A277" s="3"/>
      <c r="B277" s="3"/>
      <c r="C277" s="3"/>
      <c r="D277" s="3"/>
      <c r="E277" s="3"/>
      <c r="F277" s="3"/>
      <c r="G277" s="3"/>
      <c r="H277" s="3"/>
      <c r="I277" s="3"/>
      <c r="J277" s="3"/>
      <c r="K277" s="3"/>
      <c r="L277" s="3"/>
      <c r="M277" s="3"/>
      <c r="N277" s="3"/>
      <c r="O277" s="3"/>
      <c r="P277" s="3"/>
      <c r="Q277" s="211"/>
      <c r="R277" s="211"/>
      <c r="S277" s="211"/>
      <c r="T277" s="211"/>
      <c r="U277" s="211"/>
      <c r="V277" s="211"/>
      <c r="W277" s="211"/>
      <c r="X277" s="211"/>
      <c r="Y277" s="211"/>
      <c r="Z277" s="211"/>
      <c r="AA277" s="211"/>
      <c r="AB277" s="211"/>
      <c r="AC277" s="211"/>
      <c r="AD277" s="211"/>
      <c r="AE277" s="211"/>
      <c r="AF277" s="211"/>
      <c r="AG277" s="211"/>
      <c r="AH277" s="211"/>
      <c r="AI277" s="211"/>
      <c r="AJ277" s="211"/>
      <c r="AK277" s="211"/>
      <c r="AL277" s="211"/>
      <c r="AM277" s="211"/>
      <c r="AN277" s="211"/>
      <c r="AO277" s="211"/>
      <c r="AP277" s="211"/>
      <c r="AQ277" s="211"/>
      <c r="AR277" s="211"/>
      <c r="AS277" s="211"/>
      <c r="AT277" s="213"/>
      <c r="AU277" s="213"/>
      <c r="AV277" s="213"/>
      <c r="AW277" s="213"/>
      <c r="AX277" s="213"/>
      <c r="AY277" s="213"/>
      <c r="AZ277" s="213"/>
      <c r="BA277" s="213"/>
      <c r="BB277" s="213"/>
      <c r="BC277" s="213"/>
      <c r="BD277" s="213"/>
      <c r="BE277" s="213"/>
      <c r="BF277" s="213"/>
      <c r="BG277" s="213"/>
      <c r="BH277" s="213"/>
      <c r="BI277" s="213"/>
      <c r="BJ277" s="213"/>
      <c r="BK277" s="213"/>
    </row>
    <row r="278" spans="1:63" s="7" customFormat="1" ht="11.25">
      <c r="A278" s="3"/>
      <c r="B278" s="3"/>
      <c r="C278" s="3"/>
      <c r="D278" s="3"/>
      <c r="E278" s="3"/>
      <c r="F278" s="3"/>
      <c r="G278" s="3"/>
      <c r="H278" s="3"/>
      <c r="I278" s="3"/>
      <c r="J278" s="3"/>
      <c r="K278" s="3"/>
      <c r="L278" s="3"/>
      <c r="M278" s="3"/>
      <c r="N278" s="3"/>
      <c r="O278" s="3"/>
      <c r="P278" s="3"/>
      <c r="Q278" s="211"/>
      <c r="R278" s="211"/>
      <c r="S278" s="211"/>
      <c r="T278" s="211"/>
      <c r="U278" s="211"/>
      <c r="V278" s="211"/>
      <c r="W278" s="211"/>
      <c r="X278" s="211"/>
      <c r="Y278" s="211"/>
      <c r="Z278" s="211"/>
      <c r="AA278" s="211"/>
      <c r="AB278" s="211"/>
      <c r="AC278" s="211"/>
      <c r="AD278" s="211"/>
      <c r="AE278" s="211"/>
      <c r="AF278" s="211"/>
      <c r="AG278" s="211"/>
      <c r="AH278" s="211"/>
      <c r="AI278" s="211"/>
      <c r="AJ278" s="211"/>
      <c r="AK278" s="211"/>
      <c r="AL278" s="211"/>
      <c r="AM278" s="211"/>
      <c r="AN278" s="211"/>
      <c r="AO278" s="211"/>
      <c r="AP278" s="211"/>
      <c r="AQ278" s="211"/>
      <c r="AR278" s="211"/>
      <c r="AS278" s="211"/>
      <c r="AT278" s="213"/>
      <c r="AU278" s="213"/>
      <c r="AV278" s="213"/>
      <c r="AW278" s="213"/>
      <c r="AX278" s="213"/>
      <c r="AY278" s="213"/>
      <c r="AZ278" s="213"/>
      <c r="BA278" s="213"/>
      <c r="BB278" s="213"/>
      <c r="BC278" s="213"/>
      <c r="BD278" s="213"/>
      <c r="BE278" s="213"/>
      <c r="BF278" s="213"/>
      <c r="BG278" s="213"/>
      <c r="BH278" s="213"/>
      <c r="BI278" s="213"/>
      <c r="BJ278" s="213"/>
      <c r="BK278" s="213"/>
    </row>
    <row r="279" spans="1:63" s="7" customFormat="1" ht="11.25">
      <c r="A279" s="3"/>
      <c r="B279" s="3"/>
      <c r="C279" s="3"/>
      <c r="D279" s="3"/>
      <c r="E279" s="3"/>
      <c r="F279" s="3"/>
      <c r="G279" s="3"/>
      <c r="H279" s="3"/>
      <c r="I279" s="3"/>
      <c r="J279" s="3"/>
      <c r="K279" s="3"/>
      <c r="L279" s="3"/>
      <c r="M279" s="3"/>
      <c r="N279" s="3"/>
      <c r="O279" s="3"/>
      <c r="P279" s="3"/>
      <c r="Q279" s="211"/>
      <c r="R279" s="211"/>
      <c r="S279" s="211"/>
      <c r="T279" s="211"/>
      <c r="U279" s="211"/>
      <c r="V279" s="211"/>
      <c r="W279" s="211"/>
      <c r="X279" s="211"/>
      <c r="Y279" s="211"/>
      <c r="Z279" s="211"/>
      <c r="AA279" s="211"/>
      <c r="AB279" s="211"/>
      <c r="AC279" s="211"/>
      <c r="AD279" s="211"/>
      <c r="AE279" s="211"/>
      <c r="AF279" s="211"/>
      <c r="AG279" s="211"/>
      <c r="AH279" s="211"/>
      <c r="AI279" s="211"/>
      <c r="AJ279" s="211"/>
      <c r="AK279" s="211"/>
      <c r="AL279" s="211"/>
      <c r="AM279" s="211"/>
      <c r="AN279" s="211"/>
      <c r="AO279" s="211"/>
      <c r="AP279" s="211"/>
      <c r="AQ279" s="211"/>
      <c r="AR279" s="211"/>
      <c r="AS279" s="211"/>
      <c r="AT279" s="213"/>
      <c r="AU279" s="213"/>
      <c r="AV279" s="213"/>
      <c r="AW279" s="213"/>
      <c r="AX279" s="213"/>
      <c r="AY279" s="213"/>
      <c r="AZ279" s="213"/>
      <c r="BA279" s="213"/>
      <c r="BB279" s="213"/>
      <c r="BC279" s="213"/>
      <c r="BD279" s="213"/>
      <c r="BE279" s="213"/>
      <c r="BF279" s="213"/>
      <c r="BG279" s="213"/>
      <c r="BH279" s="213"/>
      <c r="BI279" s="213"/>
      <c r="BJ279" s="213"/>
      <c r="BK279" s="213"/>
    </row>
    <row r="280" spans="1:63" s="7" customFormat="1" ht="11.25">
      <c r="A280" s="3"/>
      <c r="B280" s="3"/>
      <c r="C280" s="3"/>
      <c r="D280" s="3"/>
      <c r="E280" s="3"/>
      <c r="F280" s="3"/>
      <c r="G280" s="3"/>
      <c r="H280" s="3"/>
      <c r="I280" s="3"/>
      <c r="J280" s="3"/>
      <c r="K280" s="3"/>
      <c r="L280" s="3"/>
      <c r="M280" s="3"/>
      <c r="N280" s="3"/>
      <c r="O280" s="3"/>
      <c r="P280" s="3"/>
      <c r="Q280" s="211"/>
      <c r="R280" s="211"/>
      <c r="S280" s="211"/>
      <c r="T280" s="211"/>
      <c r="U280" s="211"/>
      <c r="V280" s="211"/>
      <c r="W280" s="211"/>
      <c r="X280" s="211"/>
      <c r="Y280" s="211"/>
      <c r="Z280" s="211"/>
      <c r="AA280" s="211"/>
      <c r="AB280" s="211"/>
      <c r="AC280" s="211"/>
      <c r="AD280" s="211"/>
      <c r="AE280" s="211"/>
      <c r="AF280" s="211"/>
      <c r="AG280" s="211"/>
      <c r="AH280" s="211"/>
      <c r="AI280" s="211"/>
      <c r="AJ280" s="211"/>
      <c r="AK280" s="211"/>
      <c r="AL280" s="211"/>
      <c r="AM280" s="211"/>
      <c r="AN280" s="211"/>
      <c r="AO280" s="211"/>
      <c r="AP280" s="211"/>
      <c r="AQ280" s="211"/>
      <c r="AR280" s="211"/>
      <c r="AS280" s="211"/>
      <c r="AT280" s="213"/>
      <c r="AU280" s="213"/>
      <c r="AV280" s="213"/>
      <c r="AW280" s="213"/>
      <c r="AX280" s="213"/>
      <c r="AY280" s="213"/>
      <c r="AZ280" s="213"/>
      <c r="BA280" s="213"/>
      <c r="BB280" s="213"/>
      <c r="BC280" s="213"/>
      <c r="BD280" s="213"/>
      <c r="BE280" s="213"/>
      <c r="BF280" s="213"/>
      <c r="BG280" s="213"/>
      <c r="BH280" s="213"/>
      <c r="BI280" s="213"/>
      <c r="BJ280" s="213"/>
      <c r="BK280" s="213"/>
    </row>
    <row r="281" spans="1:63" s="7" customFormat="1" ht="11.25">
      <c r="A281" s="3"/>
      <c r="B281" s="3"/>
      <c r="C281" s="3"/>
      <c r="D281" s="3"/>
      <c r="E281" s="3"/>
      <c r="F281" s="3"/>
      <c r="G281" s="3"/>
      <c r="H281" s="3"/>
      <c r="I281" s="3"/>
      <c r="J281" s="3"/>
      <c r="K281" s="3"/>
      <c r="L281" s="3"/>
      <c r="M281" s="3"/>
      <c r="N281" s="3"/>
      <c r="O281" s="3"/>
      <c r="P281" s="3"/>
      <c r="Q281" s="211"/>
      <c r="R281" s="211"/>
      <c r="S281" s="211"/>
      <c r="T281" s="211"/>
      <c r="U281" s="211"/>
      <c r="V281" s="211"/>
      <c r="W281" s="211"/>
      <c r="X281" s="211"/>
      <c r="Y281" s="211"/>
      <c r="Z281" s="211"/>
      <c r="AA281" s="211"/>
      <c r="AB281" s="211"/>
      <c r="AC281" s="211"/>
      <c r="AD281" s="211"/>
      <c r="AE281" s="211"/>
      <c r="AF281" s="211"/>
      <c r="AG281" s="211"/>
      <c r="AH281" s="211"/>
      <c r="AI281" s="211"/>
      <c r="AJ281" s="211"/>
      <c r="AK281" s="211"/>
      <c r="AL281" s="211"/>
      <c r="AM281" s="211"/>
      <c r="AN281" s="211"/>
      <c r="AO281" s="211"/>
      <c r="AP281" s="211"/>
      <c r="AQ281" s="211"/>
      <c r="AR281" s="211"/>
      <c r="AS281" s="211"/>
      <c r="AT281" s="213"/>
      <c r="AU281" s="213"/>
      <c r="AV281" s="213"/>
      <c r="AW281" s="213"/>
      <c r="AX281" s="213"/>
      <c r="AY281" s="213"/>
      <c r="AZ281" s="213"/>
      <c r="BA281" s="213"/>
      <c r="BB281" s="213"/>
      <c r="BC281" s="213"/>
      <c r="BD281" s="213"/>
      <c r="BE281" s="213"/>
      <c r="BF281" s="213"/>
      <c r="BG281" s="213"/>
      <c r="BH281" s="213"/>
      <c r="BI281" s="213"/>
      <c r="BJ281" s="213"/>
      <c r="BK281" s="213"/>
    </row>
    <row r="282" spans="1:63" s="7" customFormat="1" ht="11.25">
      <c r="A282" s="3"/>
      <c r="B282" s="3"/>
      <c r="C282" s="3"/>
      <c r="D282" s="3"/>
      <c r="E282" s="3"/>
      <c r="F282" s="3"/>
      <c r="G282" s="3"/>
      <c r="H282" s="3"/>
      <c r="I282" s="3"/>
      <c r="J282" s="3"/>
      <c r="K282" s="3"/>
      <c r="L282" s="3"/>
      <c r="M282" s="3"/>
      <c r="N282" s="3"/>
      <c r="O282" s="3"/>
      <c r="P282" s="3"/>
      <c r="Q282" s="211"/>
      <c r="R282" s="211"/>
      <c r="S282" s="211"/>
      <c r="T282" s="211"/>
      <c r="U282" s="211"/>
      <c r="V282" s="211"/>
      <c r="W282" s="211"/>
      <c r="X282" s="211"/>
      <c r="Y282" s="211"/>
      <c r="Z282" s="211"/>
      <c r="AA282" s="211"/>
      <c r="AB282" s="211"/>
      <c r="AC282" s="211"/>
      <c r="AD282" s="211"/>
      <c r="AE282" s="211"/>
      <c r="AF282" s="211"/>
      <c r="AG282" s="211"/>
      <c r="AH282" s="211"/>
      <c r="AI282" s="211"/>
      <c r="AJ282" s="211"/>
      <c r="AK282" s="211"/>
      <c r="AL282" s="211"/>
      <c r="AM282" s="211"/>
      <c r="AN282" s="211"/>
      <c r="AO282" s="211"/>
      <c r="AP282" s="211"/>
      <c r="AQ282" s="211"/>
      <c r="AR282" s="211"/>
      <c r="AS282" s="211"/>
      <c r="AT282" s="213"/>
      <c r="AU282" s="213"/>
      <c r="AV282" s="213"/>
      <c r="AW282" s="213"/>
      <c r="AX282" s="213"/>
      <c r="AY282" s="213"/>
      <c r="AZ282" s="213"/>
      <c r="BA282" s="213"/>
      <c r="BB282" s="213"/>
      <c r="BC282" s="213"/>
      <c r="BD282" s="213"/>
      <c r="BE282" s="213"/>
      <c r="BF282" s="213"/>
      <c r="BG282" s="213"/>
      <c r="BH282" s="213"/>
      <c r="BI282" s="213"/>
      <c r="BJ282" s="213"/>
      <c r="BK282" s="213"/>
    </row>
    <row r="283" spans="1:63" s="7" customFormat="1" ht="11.25">
      <c r="A283" s="3"/>
      <c r="B283" s="3"/>
      <c r="C283" s="3"/>
      <c r="D283" s="3"/>
      <c r="E283" s="3"/>
      <c r="F283" s="3"/>
      <c r="G283" s="3"/>
      <c r="H283" s="3"/>
      <c r="I283" s="3"/>
      <c r="J283" s="3"/>
      <c r="K283" s="3"/>
      <c r="L283" s="3"/>
      <c r="M283" s="3"/>
      <c r="N283" s="3"/>
      <c r="O283" s="3"/>
      <c r="P283" s="3"/>
      <c r="Q283" s="211"/>
      <c r="R283" s="211"/>
      <c r="S283" s="211"/>
      <c r="T283" s="211"/>
      <c r="U283" s="211"/>
      <c r="V283" s="211"/>
      <c r="W283" s="211"/>
      <c r="X283" s="211"/>
      <c r="Y283" s="211"/>
      <c r="Z283" s="211"/>
      <c r="AA283" s="211"/>
      <c r="AB283" s="211"/>
      <c r="AC283" s="211"/>
      <c r="AD283" s="211"/>
      <c r="AE283" s="211"/>
      <c r="AF283" s="211"/>
      <c r="AG283" s="211"/>
      <c r="AH283" s="211"/>
      <c r="AI283" s="211"/>
      <c r="AJ283" s="211"/>
      <c r="AK283" s="211"/>
      <c r="AL283" s="211"/>
      <c r="AM283" s="211"/>
      <c r="AN283" s="211"/>
      <c r="AO283" s="211"/>
      <c r="AP283" s="211"/>
      <c r="AQ283" s="211"/>
      <c r="AR283" s="211"/>
      <c r="AS283" s="211"/>
      <c r="AT283" s="213"/>
      <c r="AU283" s="213"/>
      <c r="AV283" s="213"/>
      <c r="AW283" s="213"/>
      <c r="AX283" s="213"/>
      <c r="AY283" s="213"/>
      <c r="AZ283" s="213"/>
      <c r="BA283" s="213"/>
      <c r="BB283" s="213"/>
      <c r="BC283" s="213"/>
      <c r="BD283" s="213"/>
      <c r="BE283" s="213"/>
      <c r="BF283" s="213"/>
      <c r="BG283" s="213"/>
      <c r="BH283" s="213"/>
      <c r="BI283" s="213"/>
      <c r="BJ283" s="213"/>
      <c r="BK283" s="213"/>
    </row>
    <row r="284" spans="1:63" s="7" customFormat="1" ht="11.25">
      <c r="A284" s="3"/>
      <c r="B284" s="3"/>
      <c r="C284" s="3"/>
      <c r="D284" s="3"/>
      <c r="E284" s="3"/>
      <c r="F284" s="3"/>
      <c r="G284" s="3"/>
      <c r="H284" s="3"/>
      <c r="I284" s="3"/>
      <c r="J284" s="3"/>
      <c r="K284" s="3"/>
      <c r="L284" s="3"/>
      <c r="M284" s="3"/>
      <c r="N284" s="3"/>
      <c r="O284" s="3"/>
      <c r="P284" s="3"/>
      <c r="Q284" s="211"/>
      <c r="R284" s="211"/>
      <c r="S284" s="211"/>
      <c r="T284" s="211"/>
      <c r="U284" s="211"/>
      <c r="V284" s="211"/>
      <c r="W284" s="211"/>
      <c r="X284" s="211"/>
      <c r="Y284" s="211"/>
      <c r="Z284" s="211"/>
      <c r="AA284" s="211"/>
      <c r="AB284" s="211"/>
      <c r="AC284" s="211"/>
      <c r="AD284" s="211"/>
      <c r="AE284" s="211"/>
      <c r="AF284" s="211"/>
      <c r="AG284" s="211"/>
      <c r="AH284" s="211"/>
      <c r="AI284" s="211"/>
      <c r="AJ284" s="211"/>
      <c r="AK284" s="211"/>
      <c r="AL284" s="211"/>
      <c r="AM284" s="211"/>
      <c r="AN284" s="211"/>
      <c r="AO284" s="211"/>
      <c r="AP284" s="211"/>
      <c r="AQ284" s="211"/>
      <c r="AR284" s="211"/>
      <c r="AS284" s="211"/>
      <c r="AT284" s="213"/>
      <c r="AU284" s="213"/>
      <c r="AV284" s="213"/>
      <c r="AW284" s="213"/>
      <c r="AX284" s="213"/>
      <c r="AY284" s="213"/>
      <c r="AZ284" s="213"/>
      <c r="BA284" s="213"/>
      <c r="BB284" s="213"/>
      <c r="BC284" s="213"/>
      <c r="BD284" s="213"/>
      <c r="BE284" s="213"/>
      <c r="BF284" s="213"/>
      <c r="BG284" s="213"/>
      <c r="BH284" s="213"/>
      <c r="BI284" s="213"/>
      <c r="BJ284" s="213"/>
      <c r="BK284" s="213"/>
    </row>
    <row r="285" spans="1:63" s="7" customFormat="1" ht="11.25">
      <c r="A285" s="3"/>
      <c r="B285" s="3"/>
      <c r="C285" s="3"/>
      <c r="D285" s="3"/>
      <c r="E285" s="3"/>
      <c r="F285" s="3"/>
      <c r="G285" s="3"/>
      <c r="H285" s="3"/>
      <c r="I285" s="3"/>
      <c r="J285" s="3"/>
      <c r="K285" s="3"/>
      <c r="L285" s="3"/>
      <c r="M285" s="3"/>
      <c r="N285" s="3"/>
      <c r="O285" s="3"/>
      <c r="P285" s="3"/>
      <c r="Q285" s="211"/>
      <c r="R285" s="211"/>
      <c r="S285" s="211"/>
      <c r="T285" s="211"/>
      <c r="U285" s="211"/>
      <c r="V285" s="211"/>
      <c r="W285" s="211"/>
      <c r="X285" s="211"/>
      <c r="Y285" s="211"/>
      <c r="Z285" s="211"/>
      <c r="AA285" s="211"/>
      <c r="AB285" s="211"/>
      <c r="AC285" s="211"/>
      <c r="AD285" s="211"/>
      <c r="AE285" s="211"/>
      <c r="AF285" s="211"/>
      <c r="AG285" s="211"/>
      <c r="AH285" s="211"/>
      <c r="AI285" s="211"/>
      <c r="AJ285" s="211"/>
      <c r="AK285" s="211"/>
      <c r="AL285" s="211"/>
      <c r="AM285" s="211"/>
      <c r="AN285" s="211"/>
      <c r="AO285" s="211"/>
      <c r="AP285" s="211"/>
      <c r="AQ285" s="211"/>
      <c r="AR285" s="211"/>
      <c r="AS285" s="211"/>
      <c r="AT285" s="213"/>
      <c r="AU285" s="213"/>
      <c r="AV285" s="213"/>
      <c r="AW285" s="213"/>
      <c r="AX285" s="213"/>
      <c r="AY285" s="213"/>
      <c r="AZ285" s="213"/>
      <c r="BA285" s="213"/>
      <c r="BB285" s="213"/>
      <c r="BC285" s="213"/>
      <c r="BD285" s="213"/>
      <c r="BE285" s="213"/>
      <c r="BF285" s="213"/>
      <c r="BG285" s="213"/>
      <c r="BH285" s="213"/>
      <c r="BI285" s="213"/>
      <c r="BJ285" s="213"/>
      <c r="BK285" s="213"/>
    </row>
    <row r="286" spans="22:28" ht="11.25">
      <c r="V286" s="211"/>
      <c r="W286" s="211"/>
      <c r="X286" s="211"/>
      <c r="Y286" s="211"/>
      <c r="AB286" s="211"/>
    </row>
    <row r="287" spans="22:28" ht="11.25">
      <c r="V287" s="211"/>
      <c r="W287" s="211"/>
      <c r="X287" s="211"/>
      <c r="Y287" s="211"/>
      <c r="AB287" s="211"/>
    </row>
    <row r="288" spans="22:28" ht="11.25">
      <c r="V288" s="211"/>
      <c r="W288" s="211"/>
      <c r="X288" s="211"/>
      <c r="Y288" s="211"/>
      <c r="AB288" s="211"/>
    </row>
    <row r="289" spans="22:28" ht="11.25">
      <c r="V289" s="211"/>
      <c r="W289" s="211"/>
      <c r="X289" s="211"/>
      <c r="Y289" s="211"/>
      <c r="AB289" s="211"/>
    </row>
    <row r="290" spans="22:28" ht="11.25">
      <c r="V290" s="211"/>
      <c r="W290" s="211"/>
      <c r="X290" s="211"/>
      <c r="Y290" s="211"/>
      <c r="AB290" s="211"/>
    </row>
    <row r="291" spans="22:28" ht="11.25">
      <c r="V291" s="211"/>
      <c r="W291" s="211"/>
      <c r="X291" s="211"/>
      <c r="Y291" s="211"/>
      <c r="AB291" s="211"/>
    </row>
    <row r="292" spans="22:28" ht="11.25">
      <c r="V292" s="211"/>
      <c r="W292" s="211"/>
      <c r="X292" s="211"/>
      <c r="Y292" s="211"/>
      <c r="AB292" s="211"/>
    </row>
    <row r="293" spans="22:28" ht="11.25">
      <c r="V293" s="211"/>
      <c r="W293" s="211"/>
      <c r="X293" s="211"/>
      <c r="Y293" s="211"/>
      <c r="AB293" s="211"/>
    </row>
    <row r="294" spans="22:28" ht="11.25">
      <c r="V294" s="211"/>
      <c r="W294" s="211"/>
      <c r="X294" s="211"/>
      <c r="Y294" s="211"/>
      <c r="AB294" s="211"/>
    </row>
    <row r="295" spans="22:28" ht="11.25">
      <c r="V295" s="211"/>
      <c r="W295" s="211"/>
      <c r="X295" s="211"/>
      <c r="Y295" s="211"/>
      <c r="AB295" s="211"/>
    </row>
    <row r="296" spans="22:28" ht="11.25">
      <c r="V296" s="211"/>
      <c r="W296" s="211"/>
      <c r="X296" s="211"/>
      <c r="Y296" s="211"/>
      <c r="AB296" s="211"/>
    </row>
    <row r="297" spans="22:28" ht="11.25">
      <c r="V297" s="211"/>
      <c r="W297" s="211"/>
      <c r="X297" s="211"/>
      <c r="Y297" s="211"/>
      <c r="AB297" s="211"/>
    </row>
    <row r="298" spans="22:28" ht="11.25">
      <c r="V298" s="211"/>
      <c r="W298" s="211"/>
      <c r="X298" s="211"/>
      <c r="Y298" s="211"/>
      <c r="AB298" s="211"/>
    </row>
    <row r="299" spans="22:28" ht="11.25">
      <c r="V299" s="211"/>
      <c r="W299" s="211"/>
      <c r="X299" s="211"/>
      <c r="Y299" s="211"/>
      <c r="AB299" s="211"/>
    </row>
    <row r="300" spans="22:28" ht="11.25">
      <c r="V300" s="211"/>
      <c r="W300" s="211"/>
      <c r="X300" s="211"/>
      <c r="Y300" s="211"/>
      <c r="AB300" s="211"/>
    </row>
    <row r="301" spans="22:28" ht="11.25">
      <c r="V301" s="211"/>
      <c r="W301" s="211"/>
      <c r="X301" s="211"/>
      <c r="Y301" s="211"/>
      <c r="AB301" s="211"/>
    </row>
    <row r="302" spans="22:28" ht="11.25">
      <c r="V302" s="211"/>
      <c r="W302" s="211"/>
      <c r="X302" s="211"/>
      <c r="Y302" s="211"/>
      <c r="AB302" s="211"/>
    </row>
    <row r="303" spans="22:28" ht="11.25">
      <c r="V303" s="211"/>
      <c r="W303" s="211"/>
      <c r="X303" s="211"/>
      <c r="Y303" s="211"/>
      <c r="AB303" s="211"/>
    </row>
    <row r="304" spans="22:28" ht="11.25">
      <c r="V304" s="211"/>
      <c r="W304" s="211"/>
      <c r="X304" s="211"/>
      <c r="Y304" s="211"/>
      <c r="AB304" s="211"/>
    </row>
    <row r="305" spans="22:28" ht="11.25">
      <c r="V305" s="211"/>
      <c r="W305" s="211"/>
      <c r="X305" s="211"/>
      <c r="Y305" s="211"/>
      <c r="AB305" s="211"/>
    </row>
    <row r="306" spans="22:28" ht="11.25">
      <c r="V306" s="211"/>
      <c r="W306" s="211"/>
      <c r="X306" s="211"/>
      <c r="Y306" s="211"/>
      <c r="AB306" s="211"/>
    </row>
    <row r="307" spans="22:28" ht="11.25">
      <c r="V307" s="211"/>
      <c r="W307" s="211"/>
      <c r="X307" s="211"/>
      <c r="Y307" s="211"/>
      <c r="AB307" s="211"/>
    </row>
    <row r="308" spans="22:28" ht="11.25">
      <c r="V308" s="211"/>
      <c r="W308" s="211"/>
      <c r="X308" s="211"/>
      <c r="Y308" s="211"/>
      <c r="AB308" s="211"/>
    </row>
    <row r="309" spans="22:28" ht="11.25">
      <c r="V309" s="211"/>
      <c r="W309" s="211"/>
      <c r="X309" s="211"/>
      <c r="Y309" s="211"/>
      <c r="AB309" s="211"/>
    </row>
    <row r="310" spans="22:28" ht="11.25">
      <c r="V310" s="211"/>
      <c r="W310" s="211"/>
      <c r="X310" s="211"/>
      <c r="Y310" s="211"/>
      <c r="AB310" s="211"/>
    </row>
    <row r="311" spans="22:28" ht="11.25">
      <c r="V311" s="211"/>
      <c r="W311" s="211"/>
      <c r="X311" s="211"/>
      <c r="Y311" s="211"/>
      <c r="AB311" s="211"/>
    </row>
    <row r="312" spans="22:28" ht="11.25">
      <c r="V312" s="211"/>
      <c r="W312" s="211"/>
      <c r="X312" s="211"/>
      <c r="Y312" s="211"/>
      <c r="AB312" s="211"/>
    </row>
    <row r="313" spans="22:28" ht="11.25">
      <c r="V313" s="211"/>
      <c r="W313" s="211"/>
      <c r="X313" s="211"/>
      <c r="Y313" s="211"/>
      <c r="AB313" s="211"/>
    </row>
    <row r="314" spans="22:28" ht="11.25">
      <c r="V314" s="211"/>
      <c r="W314" s="211"/>
      <c r="X314" s="211"/>
      <c r="Y314" s="211"/>
      <c r="AB314" s="211"/>
    </row>
    <row r="315" spans="22:28" ht="11.25">
      <c r="V315" s="211"/>
      <c r="W315" s="211"/>
      <c r="X315" s="211"/>
      <c r="Y315" s="211"/>
      <c r="AB315" s="211"/>
    </row>
    <row r="316" spans="22:28" ht="11.25">
      <c r="V316" s="211"/>
      <c r="W316" s="211"/>
      <c r="X316" s="211"/>
      <c r="Y316" s="211"/>
      <c r="AB316" s="211"/>
    </row>
    <row r="317" spans="22:28" ht="11.25">
      <c r="V317" s="211"/>
      <c r="W317" s="211"/>
      <c r="X317" s="211"/>
      <c r="Y317" s="211"/>
      <c r="AB317" s="211"/>
    </row>
    <row r="318" spans="22:28" ht="11.25">
      <c r="V318" s="211"/>
      <c r="W318" s="211"/>
      <c r="X318" s="211"/>
      <c r="Y318" s="211"/>
      <c r="AB318" s="211"/>
    </row>
    <row r="319" spans="22:28" ht="11.25">
      <c r="V319" s="211"/>
      <c r="W319" s="211"/>
      <c r="X319" s="211"/>
      <c r="Y319" s="211"/>
      <c r="AB319" s="211"/>
    </row>
    <row r="320" spans="22:28" ht="11.25">
      <c r="V320" s="211"/>
      <c r="W320" s="211"/>
      <c r="X320" s="211"/>
      <c r="Y320" s="211"/>
      <c r="AB320" s="211"/>
    </row>
    <row r="321" spans="22:28" ht="11.25">
      <c r="V321" s="211"/>
      <c r="W321" s="211"/>
      <c r="X321" s="211"/>
      <c r="Y321" s="211"/>
      <c r="AB321" s="211"/>
    </row>
    <row r="322" spans="22:28" ht="11.25">
      <c r="V322" s="211"/>
      <c r="W322" s="211"/>
      <c r="X322" s="211"/>
      <c r="Y322" s="211"/>
      <c r="AB322" s="211"/>
    </row>
    <row r="323" spans="22:28" ht="11.25">
      <c r="V323" s="211"/>
      <c r="W323" s="211"/>
      <c r="X323" s="211"/>
      <c r="Y323" s="211"/>
      <c r="AB323" s="211"/>
    </row>
    <row r="324" spans="22:28" ht="11.25">
      <c r="V324" s="211"/>
      <c r="W324" s="211"/>
      <c r="X324" s="211"/>
      <c r="Y324" s="211"/>
      <c r="AB324" s="211"/>
    </row>
    <row r="325" spans="20:30" ht="11.25">
      <c r="T325" s="213"/>
      <c r="U325" s="213"/>
      <c r="V325" s="213"/>
      <c r="W325" s="213"/>
      <c r="X325" s="213"/>
      <c r="Y325" s="213"/>
      <c r="Z325" s="213"/>
      <c r="AA325" s="213"/>
      <c r="AB325" s="213"/>
      <c r="AC325" s="213"/>
      <c r="AD325" s="213"/>
    </row>
    <row r="326" spans="20:30" ht="11.25">
      <c r="T326" s="213"/>
      <c r="U326" s="213"/>
      <c r="V326" s="213"/>
      <c r="W326" s="213"/>
      <c r="X326" s="213"/>
      <c r="Y326" s="213"/>
      <c r="Z326" s="213"/>
      <c r="AA326" s="213"/>
      <c r="AB326" s="213"/>
      <c r="AC326" s="213"/>
      <c r="AD326" s="213"/>
    </row>
    <row r="327" spans="20:30" ht="11.25">
      <c r="T327" s="213"/>
      <c r="U327" s="213"/>
      <c r="V327" s="213"/>
      <c r="W327" s="213"/>
      <c r="X327" s="213"/>
      <c r="Y327" s="213"/>
      <c r="Z327" s="213"/>
      <c r="AA327" s="213"/>
      <c r="AB327" s="213"/>
      <c r="AC327" s="213"/>
      <c r="AD327" s="213"/>
    </row>
    <row r="328" spans="20:30" ht="11.25">
      <c r="T328" s="213"/>
      <c r="U328" s="213"/>
      <c r="V328" s="213"/>
      <c r="W328" s="213"/>
      <c r="X328" s="213"/>
      <c r="Y328" s="213"/>
      <c r="Z328" s="213"/>
      <c r="AA328" s="213"/>
      <c r="AB328" s="213"/>
      <c r="AC328" s="213"/>
      <c r="AD328" s="213"/>
    </row>
    <row r="329" spans="20:30" ht="11.25">
      <c r="T329" s="213"/>
      <c r="U329" s="213"/>
      <c r="V329" s="213"/>
      <c r="W329" s="213"/>
      <c r="X329" s="213"/>
      <c r="Y329" s="213"/>
      <c r="Z329" s="213"/>
      <c r="AA329" s="213"/>
      <c r="AB329" s="213"/>
      <c r="AC329" s="213"/>
      <c r="AD329" s="213"/>
    </row>
    <row r="330" spans="20:30" ht="11.25">
      <c r="T330" s="213"/>
      <c r="U330" s="213"/>
      <c r="V330" s="213"/>
      <c r="W330" s="213"/>
      <c r="X330" s="213"/>
      <c r="Y330" s="213"/>
      <c r="Z330" s="213"/>
      <c r="AA330" s="213"/>
      <c r="AB330" s="213"/>
      <c r="AC330" s="213"/>
      <c r="AD330" s="213"/>
    </row>
    <row r="331" spans="20:30" ht="11.25">
      <c r="T331" s="213"/>
      <c r="U331" s="213"/>
      <c r="V331" s="213"/>
      <c r="W331" s="213"/>
      <c r="X331" s="213"/>
      <c r="Y331" s="213"/>
      <c r="Z331" s="213"/>
      <c r="AA331" s="213"/>
      <c r="AB331" s="213"/>
      <c r="AC331" s="213"/>
      <c r="AD331" s="213"/>
    </row>
    <row r="332" spans="20:30" ht="11.25">
      <c r="T332" s="213"/>
      <c r="U332" s="213"/>
      <c r="V332" s="213"/>
      <c r="W332" s="213"/>
      <c r="X332" s="213"/>
      <c r="Y332" s="213"/>
      <c r="Z332" s="213"/>
      <c r="AA332" s="213"/>
      <c r="AB332" s="213"/>
      <c r="AC332" s="213"/>
      <c r="AD332" s="213"/>
    </row>
    <row r="333" spans="20:30" ht="11.25">
      <c r="T333" s="213"/>
      <c r="U333" s="213"/>
      <c r="V333" s="213"/>
      <c r="W333" s="213"/>
      <c r="X333" s="213"/>
      <c r="Y333" s="213"/>
      <c r="Z333" s="213"/>
      <c r="AA333" s="213"/>
      <c r="AB333" s="213"/>
      <c r="AC333" s="213"/>
      <c r="AD333" s="213"/>
    </row>
    <row r="334" spans="20:30" ht="11.25">
      <c r="T334" s="213"/>
      <c r="U334" s="213"/>
      <c r="V334" s="213"/>
      <c r="W334" s="213"/>
      <c r="X334" s="213"/>
      <c r="Y334" s="213"/>
      <c r="Z334" s="213"/>
      <c r="AA334" s="213"/>
      <c r="AB334" s="213"/>
      <c r="AC334" s="213"/>
      <c r="AD334" s="213"/>
    </row>
    <row r="335" spans="20:30" ht="11.25">
      <c r="T335" s="213"/>
      <c r="U335" s="213"/>
      <c r="V335" s="213"/>
      <c r="W335" s="213"/>
      <c r="X335" s="213"/>
      <c r="Y335" s="213"/>
      <c r="Z335" s="213"/>
      <c r="AA335" s="213"/>
      <c r="AB335" s="213"/>
      <c r="AC335" s="213"/>
      <c r="AD335" s="213"/>
    </row>
    <row r="336" spans="20:30" ht="11.25">
      <c r="T336" s="213"/>
      <c r="U336" s="213"/>
      <c r="V336" s="213"/>
      <c r="W336" s="213"/>
      <c r="X336" s="213"/>
      <c r="Y336" s="213"/>
      <c r="Z336" s="213"/>
      <c r="AA336" s="213"/>
      <c r="AB336" s="213"/>
      <c r="AC336" s="213"/>
      <c r="AD336" s="213"/>
    </row>
    <row r="337" spans="20:30" ht="11.25">
      <c r="T337" s="213"/>
      <c r="U337" s="213"/>
      <c r="V337" s="213"/>
      <c r="W337" s="213"/>
      <c r="X337" s="213"/>
      <c r="Y337" s="213"/>
      <c r="Z337" s="213"/>
      <c r="AA337" s="213"/>
      <c r="AB337" s="213"/>
      <c r="AC337" s="213"/>
      <c r="AD337" s="213"/>
    </row>
    <row r="338" spans="20:30" ht="11.25">
      <c r="T338" s="213"/>
      <c r="U338" s="213"/>
      <c r="V338" s="213"/>
      <c r="W338" s="213"/>
      <c r="X338" s="213"/>
      <c r="Y338" s="213"/>
      <c r="Z338" s="213"/>
      <c r="AA338" s="213"/>
      <c r="AB338" s="213"/>
      <c r="AC338" s="213"/>
      <c r="AD338" s="213"/>
    </row>
    <row r="339" spans="20:30" ht="11.25">
      <c r="T339" s="213"/>
      <c r="U339" s="213"/>
      <c r="V339" s="213"/>
      <c r="W339" s="213"/>
      <c r="X339" s="213"/>
      <c r="Y339" s="213"/>
      <c r="Z339" s="213"/>
      <c r="AA339" s="213"/>
      <c r="AB339" s="213"/>
      <c r="AC339" s="213"/>
      <c r="AD339" s="213"/>
    </row>
    <row r="340" spans="20:30" ht="11.25">
      <c r="T340" s="213"/>
      <c r="U340" s="213"/>
      <c r="V340" s="213"/>
      <c r="W340" s="213"/>
      <c r="X340" s="213"/>
      <c r="Y340" s="213"/>
      <c r="Z340" s="213"/>
      <c r="AA340" s="213"/>
      <c r="AB340" s="213"/>
      <c r="AC340" s="213"/>
      <c r="AD340" s="213"/>
    </row>
    <row r="341" spans="20:30" ht="11.25">
      <c r="T341" s="213"/>
      <c r="U341" s="213"/>
      <c r="V341" s="213"/>
      <c r="W341" s="213"/>
      <c r="X341" s="213"/>
      <c r="Y341" s="213"/>
      <c r="Z341" s="213"/>
      <c r="AA341" s="213"/>
      <c r="AB341" s="213"/>
      <c r="AC341" s="213"/>
      <c r="AD341" s="213"/>
    </row>
    <row r="342" spans="20:30" ht="11.25">
      <c r="T342" s="213"/>
      <c r="U342" s="213"/>
      <c r="V342" s="213"/>
      <c r="W342" s="213"/>
      <c r="X342" s="213"/>
      <c r="Y342" s="213"/>
      <c r="Z342" s="213"/>
      <c r="AA342" s="213"/>
      <c r="AB342" s="213"/>
      <c r="AC342" s="213"/>
      <c r="AD342" s="213"/>
    </row>
    <row r="343" spans="20:30" ht="11.25">
      <c r="T343" s="213"/>
      <c r="U343" s="213"/>
      <c r="V343" s="213"/>
      <c r="W343" s="213"/>
      <c r="X343" s="213"/>
      <c r="Y343" s="213"/>
      <c r="Z343" s="213"/>
      <c r="AA343" s="213"/>
      <c r="AB343" s="213"/>
      <c r="AC343" s="213"/>
      <c r="AD343" s="213"/>
    </row>
    <row r="344" spans="20:30" ht="11.25">
      <c r="T344" s="213"/>
      <c r="U344" s="213"/>
      <c r="V344" s="213"/>
      <c r="W344" s="213"/>
      <c r="X344" s="213"/>
      <c r="Y344" s="213"/>
      <c r="Z344" s="213"/>
      <c r="AA344" s="213"/>
      <c r="AB344" s="213"/>
      <c r="AC344" s="213"/>
      <c r="AD344" s="213"/>
    </row>
    <row r="345" spans="20:30" ht="11.25">
      <c r="T345" s="213"/>
      <c r="U345" s="213"/>
      <c r="V345" s="213"/>
      <c r="W345" s="213"/>
      <c r="X345" s="213"/>
      <c r="Y345" s="213"/>
      <c r="Z345" s="213"/>
      <c r="AA345" s="213"/>
      <c r="AB345" s="213"/>
      <c r="AC345" s="213"/>
      <c r="AD345" s="213"/>
    </row>
    <row r="346" spans="20:30" ht="11.25">
      <c r="T346" s="213"/>
      <c r="U346" s="213"/>
      <c r="V346" s="213"/>
      <c r="W346" s="213"/>
      <c r="X346" s="213"/>
      <c r="Y346" s="213"/>
      <c r="Z346" s="213"/>
      <c r="AA346" s="213"/>
      <c r="AB346" s="213"/>
      <c r="AC346" s="213"/>
      <c r="AD346" s="213"/>
    </row>
    <row r="347" spans="20:30" ht="11.25">
      <c r="T347" s="213"/>
      <c r="U347" s="213"/>
      <c r="V347" s="213"/>
      <c r="W347" s="213"/>
      <c r="X347" s="213"/>
      <c r="Y347" s="213"/>
      <c r="Z347" s="213"/>
      <c r="AA347" s="213"/>
      <c r="AB347" s="213"/>
      <c r="AC347" s="213"/>
      <c r="AD347" s="213"/>
    </row>
    <row r="348" spans="20:30" ht="11.25">
      <c r="T348" s="213"/>
      <c r="U348" s="213"/>
      <c r="V348" s="213"/>
      <c r="W348" s="213"/>
      <c r="X348" s="213"/>
      <c r="Y348" s="213"/>
      <c r="Z348" s="213"/>
      <c r="AA348" s="213"/>
      <c r="AB348" s="213"/>
      <c r="AC348" s="213"/>
      <c r="AD348" s="213"/>
    </row>
    <row r="349" spans="20:30" ht="11.25">
      <c r="T349" s="213"/>
      <c r="U349" s="213"/>
      <c r="V349" s="213"/>
      <c r="W349" s="213"/>
      <c r="X349" s="213"/>
      <c r="Y349" s="213"/>
      <c r="Z349" s="213"/>
      <c r="AA349" s="213"/>
      <c r="AB349" s="213"/>
      <c r="AC349" s="213"/>
      <c r="AD349" s="213"/>
    </row>
    <row r="350" spans="20:30" ht="11.25">
      <c r="T350" s="213"/>
      <c r="U350" s="213"/>
      <c r="V350" s="213"/>
      <c r="W350" s="213"/>
      <c r="X350" s="213"/>
      <c r="Y350" s="213"/>
      <c r="Z350" s="213"/>
      <c r="AA350" s="213"/>
      <c r="AB350" s="213"/>
      <c r="AC350" s="213"/>
      <c r="AD350" s="213"/>
    </row>
    <row r="351" spans="20:30" ht="11.25">
      <c r="T351" s="213"/>
      <c r="U351" s="213"/>
      <c r="V351" s="213"/>
      <c r="W351" s="213"/>
      <c r="X351" s="213"/>
      <c r="Y351" s="213"/>
      <c r="Z351" s="213"/>
      <c r="AA351" s="213"/>
      <c r="AB351" s="213"/>
      <c r="AC351" s="213"/>
      <c r="AD351" s="213"/>
    </row>
    <row r="352" spans="20:30" ht="11.25">
      <c r="T352" s="213"/>
      <c r="U352" s="213"/>
      <c r="V352" s="213"/>
      <c r="W352" s="213"/>
      <c r="X352" s="213"/>
      <c r="Y352" s="213"/>
      <c r="Z352" s="213"/>
      <c r="AA352" s="213"/>
      <c r="AB352" s="213"/>
      <c r="AC352" s="213"/>
      <c r="AD352" s="213"/>
    </row>
    <row r="353" spans="20:30" ht="11.25">
      <c r="T353" s="213"/>
      <c r="U353" s="213"/>
      <c r="V353" s="213"/>
      <c r="W353" s="213"/>
      <c r="X353" s="213"/>
      <c r="Y353" s="213"/>
      <c r="Z353" s="213"/>
      <c r="AA353" s="213"/>
      <c r="AB353" s="213"/>
      <c r="AC353" s="213"/>
      <c r="AD353" s="213"/>
    </row>
    <row r="354" spans="20:30" ht="11.25">
      <c r="T354" s="213"/>
      <c r="U354" s="213"/>
      <c r="V354" s="213"/>
      <c r="W354" s="213"/>
      <c r="X354" s="213"/>
      <c r="Y354" s="213"/>
      <c r="Z354" s="213"/>
      <c r="AA354" s="213"/>
      <c r="AB354" s="213"/>
      <c r="AC354" s="213"/>
      <c r="AD354" s="213"/>
    </row>
    <row r="355" spans="20:30" ht="11.25">
      <c r="T355" s="213"/>
      <c r="U355" s="213"/>
      <c r="V355" s="213"/>
      <c r="W355" s="213"/>
      <c r="X355" s="213"/>
      <c r="Y355" s="213"/>
      <c r="Z355" s="213"/>
      <c r="AA355" s="213"/>
      <c r="AB355" s="213"/>
      <c r="AC355" s="213"/>
      <c r="AD355" s="213"/>
    </row>
    <row r="356" spans="20:30" ht="11.25">
      <c r="T356" s="213"/>
      <c r="U356" s="213"/>
      <c r="V356" s="213"/>
      <c r="W356" s="213"/>
      <c r="X356" s="213"/>
      <c r="Y356" s="213"/>
      <c r="Z356" s="213"/>
      <c r="AA356" s="213"/>
      <c r="AB356" s="213"/>
      <c r="AC356" s="213"/>
      <c r="AD356" s="213"/>
    </row>
    <row r="357" spans="20:30" ht="11.25">
      <c r="T357" s="213"/>
      <c r="U357" s="213"/>
      <c r="V357" s="213"/>
      <c r="W357" s="213"/>
      <c r="X357" s="213"/>
      <c r="Y357" s="213"/>
      <c r="Z357" s="213"/>
      <c r="AA357" s="213"/>
      <c r="AB357" s="213"/>
      <c r="AC357" s="213"/>
      <c r="AD357" s="213"/>
    </row>
    <row r="358" spans="20:30" ht="11.25">
      <c r="T358" s="213"/>
      <c r="U358" s="213"/>
      <c r="V358" s="213"/>
      <c r="W358" s="213"/>
      <c r="X358" s="213"/>
      <c r="Y358" s="213"/>
      <c r="Z358" s="213"/>
      <c r="AA358" s="213"/>
      <c r="AB358" s="213"/>
      <c r="AC358" s="213"/>
      <c r="AD358" s="213"/>
    </row>
    <row r="359" spans="20:30" ht="11.25">
      <c r="T359" s="213"/>
      <c r="U359" s="213"/>
      <c r="V359" s="213"/>
      <c r="W359" s="213"/>
      <c r="X359" s="213"/>
      <c r="Y359" s="213"/>
      <c r="Z359" s="213"/>
      <c r="AA359" s="213"/>
      <c r="AB359" s="213"/>
      <c r="AC359" s="213"/>
      <c r="AD359" s="213"/>
    </row>
    <row r="360" spans="20:30" ht="11.25">
      <c r="T360" s="213"/>
      <c r="U360" s="213"/>
      <c r="V360" s="213"/>
      <c r="W360" s="213"/>
      <c r="X360" s="213"/>
      <c r="Y360" s="213"/>
      <c r="Z360" s="213"/>
      <c r="AA360" s="213"/>
      <c r="AB360" s="213"/>
      <c r="AC360" s="213"/>
      <c r="AD360" s="213"/>
    </row>
    <row r="361" spans="20:30" ht="11.25">
      <c r="T361" s="213"/>
      <c r="U361" s="213"/>
      <c r="V361" s="213"/>
      <c r="W361" s="213"/>
      <c r="X361" s="213"/>
      <c r="Y361" s="213"/>
      <c r="Z361" s="213"/>
      <c r="AA361" s="213"/>
      <c r="AB361" s="213"/>
      <c r="AC361" s="213"/>
      <c r="AD361" s="213"/>
    </row>
    <row r="362" spans="20:30" ht="11.25">
      <c r="T362" s="213"/>
      <c r="U362" s="213"/>
      <c r="V362" s="213"/>
      <c r="W362" s="213"/>
      <c r="X362" s="213"/>
      <c r="Y362" s="213"/>
      <c r="Z362" s="213"/>
      <c r="AA362" s="213"/>
      <c r="AB362" s="213"/>
      <c r="AC362" s="213"/>
      <c r="AD362" s="213"/>
    </row>
    <row r="363" spans="20:30" ht="11.25">
      <c r="T363" s="213"/>
      <c r="U363" s="213"/>
      <c r="V363" s="213"/>
      <c r="W363" s="213"/>
      <c r="X363" s="213"/>
      <c r="Y363" s="213"/>
      <c r="Z363" s="213"/>
      <c r="AA363" s="213"/>
      <c r="AB363" s="213"/>
      <c r="AC363" s="213"/>
      <c r="AD363" s="213"/>
    </row>
    <row r="364" spans="20:30" ht="11.25">
      <c r="T364" s="213"/>
      <c r="U364" s="213"/>
      <c r="V364" s="213"/>
      <c r="W364" s="213"/>
      <c r="X364" s="213"/>
      <c r="Y364" s="213"/>
      <c r="Z364" s="213"/>
      <c r="AA364" s="213"/>
      <c r="AB364" s="213"/>
      <c r="AC364" s="213"/>
      <c r="AD364" s="213"/>
    </row>
    <row r="365" spans="20:30" ht="11.25">
      <c r="T365" s="213"/>
      <c r="U365" s="213"/>
      <c r="V365" s="213"/>
      <c r="W365" s="213"/>
      <c r="X365" s="213"/>
      <c r="Y365" s="213"/>
      <c r="Z365" s="213"/>
      <c r="AA365" s="213"/>
      <c r="AB365" s="213"/>
      <c r="AC365" s="213"/>
      <c r="AD365" s="213"/>
    </row>
    <row r="366" spans="20:30" ht="11.25">
      <c r="T366" s="213"/>
      <c r="U366" s="213"/>
      <c r="V366" s="213"/>
      <c r="W366" s="213"/>
      <c r="X366" s="213"/>
      <c r="Y366" s="213"/>
      <c r="Z366" s="213"/>
      <c r="AA366" s="213"/>
      <c r="AB366" s="213"/>
      <c r="AC366" s="213"/>
      <c r="AD366" s="213"/>
    </row>
    <row r="367" spans="20:30" ht="11.25">
      <c r="T367" s="213"/>
      <c r="U367" s="213"/>
      <c r="V367" s="213"/>
      <c r="W367" s="213"/>
      <c r="X367" s="213"/>
      <c r="Y367" s="213"/>
      <c r="Z367" s="213"/>
      <c r="AA367" s="213"/>
      <c r="AB367" s="213"/>
      <c r="AC367" s="213"/>
      <c r="AD367" s="213"/>
    </row>
    <row r="368" spans="20:30" ht="11.25">
      <c r="T368" s="213"/>
      <c r="U368" s="213"/>
      <c r="V368" s="213"/>
      <c r="W368" s="213"/>
      <c r="X368" s="213"/>
      <c r="Y368" s="213"/>
      <c r="Z368" s="213"/>
      <c r="AA368" s="213"/>
      <c r="AB368" s="213"/>
      <c r="AC368" s="213"/>
      <c r="AD368" s="213"/>
    </row>
    <row r="369" spans="20:30" ht="11.25">
      <c r="T369" s="213"/>
      <c r="U369" s="213"/>
      <c r="V369" s="213"/>
      <c r="W369" s="213"/>
      <c r="X369" s="213"/>
      <c r="Y369" s="213"/>
      <c r="Z369" s="213"/>
      <c r="AA369" s="213"/>
      <c r="AB369" s="213"/>
      <c r="AC369" s="213"/>
      <c r="AD369" s="213"/>
    </row>
    <row r="370" spans="20:30" ht="11.25">
      <c r="T370" s="213"/>
      <c r="U370" s="213"/>
      <c r="V370" s="213"/>
      <c r="W370" s="213"/>
      <c r="X370" s="213"/>
      <c r="Y370" s="213"/>
      <c r="Z370" s="213"/>
      <c r="AA370" s="213"/>
      <c r="AB370" s="213"/>
      <c r="AC370" s="213"/>
      <c r="AD370" s="213"/>
    </row>
    <row r="371" spans="20:30" ht="11.25">
      <c r="T371" s="213"/>
      <c r="U371" s="213"/>
      <c r="V371" s="213"/>
      <c r="W371" s="213"/>
      <c r="X371" s="213"/>
      <c r="Y371" s="213"/>
      <c r="Z371" s="213"/>
      <c r="AA371" s="213"/>
      <c r="AB371" s="213"/>
      <c r="AC371" s="213"/>
      <c r="AD371" s="213"/>
    </row>
    <row r="372" spans="20:30" ht="11.25">
      <c r="T372" s="213"/>
      <c r="U372" s="213"/>
      <c r="V372" s="213"/>
      <c r="W372" s="213"/>
      <c r="X372" s="213"/>
      <c r="Y372" s="213"/>
      <c r="Z372" s="213"/>
      <c r="AA372" s="213"/>
      <c r="AB372" s="213"/>
      <c r="AC372" s="213"/>
      <c r="AD372" s="213"/>
    </row>
    <row r="373" spans="20:30" ht="11.25">
      <c r="T373" s="213"/>
      <c r="U373" s="213"/>
      <c r="V373" s="213"/>
      <c r="W373" s="213"/>
      <c r="X373" s="213"/>
      <c r="Y373" s="213"/>
      <c r="Z373" s="213"/>
      <c r="AA373" s="213"/>
      <c r="AB373" s="213"/>
      <c r="AC373" s="213"/>
      <c r="AD373" s="213"/>
    </row>
    <row r="374" spans="20:30" ht="11.25">
      <c r="T374" s="213"/>
      <c r="U374" s="213"/>
      <c r="V374" s="213"/>
      <c r="W374" s="213"/>
      <c r="X374" s="213"/>
      <c r="Y374" s="213"/>
      <c r="Z374" s="213"/>
      <c r="AA374" s="213"/>
      <c r="AB374" s="213"/>
      <c r="AC374" s="213"/>
      <c r="AD374" s="213"/>
    </row>
    <row r="375" spans="20:30" ht="11.25">
      <c r="T375" s="213"/>
      <c r="U375" s="213"/>
      <c r="V375" s="213"/>
      <c r="W375" s="213"/>
      <c r="X375" s="213"/>
      <c r="Y375" s="213"/>
      <c r="Z375" s="213"/>
      <c r="AA375" s="213"/>
      <c r="AB375" s="213"/>
      <c r="AC375" s="213"/>
      <c r="AD375" s="213"/>
    </row>
    <row r="376" spans="20:30" ht="4.5" customHeight="1">
      <c r="T376" s="213"/>
      <c r="U376" s="213"/>
      <c r="V376" s="213"/>
      <c r="W376" s="213"/>
      <c r="X376" s="213"/>
      <c r="Y376" s="213"/>
      <c r="Z376" s="213"/>
      <c r="AA376" s="213"/>
      <c r="AB376" s="213"/>
      <c r="AC376" s="213"/>
      <c r="AD376" s="213"/>
    </row>
    <row r="377" spans="20:30" ht="11.25">
      <c r="T377" s="213"/>
      <c r="U377" s="213"/>
      <c r="V377" s="213"/>
      <c r="W377" s="213"/>
      <c r="X377" s="213"/>
      <c r="Y377" s="213"/>
      <c r="Z377" s="213"/>
      <c r="AA377" s="213"/>
      <c r="AB377" s="213"/>
      <c r="AC377" s="213"/>
      <c r="AD377" s="213"/>
    </row>
    <row r="378" spans="20:30" ht="11.25">
      <c r="T378" s="213"/>
      <c r="U378" s="213"/>
      <c r="V378" s="213"/>
      <c r="W378" s="213"/>
      <c r="X378" s="213"/>
      <c r="Y378" s="213"/>
      <c r="Z378" s="213"/>
      <c r="AA378" s="213"/>
      <c r="AB378" s="213"/>
      <c r="AC378" s="213"/>
      <c r="AD378" s="213"/>
    </row>
    <row r="379" spans="20:30" ht="11.25">
      <c r="T379" s="213"/>
      <c r="U379" s="213"/>
      <c r="V379" s="213"/>
      <c r="W379" s="213"/>
      <c r="X379" s="213"/>
      <c r="Y379" s="213"/>
      <c r="Z379" s="213"/>
      <c r="AA379" s="213"/>
      <c r="AB379" s="213"/>
      <c r="AC379" s="213"/>
      <c r="AD379" s="213"/>
    </row>
    <row r="380" spans="20:30" ht="4.5" customHeight="1">
      <c r="T380" s="213"/>
      <c r="U380" s="213"/>
      <c r="V380" s="213"/>
      <c r="W380" s="213"/>
      <c r="X380" s="213"/>
      <c r="Y380" s="213"/>
      <c r="Z380" s="213"/>
      <c r="AA380" s="213"/>
      <c r="AB380" s="213"/>
      <c r="AC380" s="213"/>
      <c r="AD380" s="213"/>
    </row>
    <row r="381" spans="20:30" ht="11.25">
      <c r="T381" s="213"/>
      <c r="U381" s="213"/>
      <c r="V381" s="213"/>
      <c r="W381" s="213"/>
      <c r="X381" s="213"/>
      <c r="Y381" s="213"/>
      <c r="Z381" s="213"/>
      <c r="AA381" s="213"/>
      <c r="AB381" s="213"/>
      <c r="AC381" s="213"/>
      <c r="AD381" s="213"/>
    </row>
    <row r="382" spans="20:30" ht="11.25">
      <c r="T382" s="213"/>
      <c r="U382" s="213"/>
      <c r="V382" s="213"/>
      <c r="W382" s="213"/>
      <c r="X382" s="213"/>
      <c r="Y382" s="213"/>
      <c r="Z382" s="213"/>
      <c r="AA382" s="213"/>
      <c r="AB382" s="213"/>
      <c r="AC382" s="213"/>
      <c r="AD382" s="213"/>
    </row>
    <row r="383" spans="20:30" ht="11.25">
      <c r="T383" s="213"/>
      <c r="U383" s="213"/>
      <c r="V383" s="213"/>
      <c r="W383" s="213"/>
      <c r="X383" s="213"/>
      <c r="Y383" s="213"/>
      <c r="Z383" s="213"/>
      <c r="AA383" s="213"/>
      <c r="AB383" s="213"/>
      <c r="AC383" s="213"/>
      <c r="AD383" s="213"/>
    </row>
    <row r="384" spans="20:30" ht="4.5" customHeight="1">
      <c r="T384" s="213"/>
      <c r="U384" s="213"/>
      <c r="V384" s="213"/>
      <c r="W384" s="213"/>
      <c r="X384" s="213"/>
      <c r="Y384" s="213"/>
      <c r="Z384" s="213"/>
      <c r="AA384" s="213"/>
      <c r="AB384" s="213"/>
      <c r="AC384" s="213"/>
      <c r="AD384" s="213"/>
    </row>
    <row r="385" spans="20:30" ht="11.25">
      <c r="T385" s="213"/>
      <c r="U385" s="213"/>
      <c r="V385" s="213"/>
      <c r="W385" s="213"/>
      <c r="X385" s="213"/>
      <c r="Y385" s="213"/>
      <c r="Z385" s="213"/>
      <c r="AA385" s="213"/>
      <c r="AB385" s="213"/>
      <c r="AC385" s="213"/>
      <c r="AD385" s="213"/>
    </row>
    <row r="386" spans="20:30" ht="11.25">
      <c r="T386" s="213"/>
      <c r="U386" s="213"/>
      <c r="V386" s="213"/>
      <c r="W386" s="213"/>
      <c r="X386" s="213"/>
      <c r="Y386" s="213"/>
      <c r="Z386" s="213"/>
      <c r="AA386" s="213"/>
      <c r="AB386" s="213"/>
      <c r="AC386" s="213"/>
      <c r="AD386" s="213"/>
    </row>
    <row r="387" spans="20:30" ht="11.25">
      <c r="T387" s="213"/>
      <c r="U387" s="213"/>
      <c r="V387" s="213"/>
      <c r="W387" s="213"/>
      <c r="X387" s="213"/>
      <c r="Y387" s="213"/>
      <c r="Z387" s="213"/>
      <c r="AA387" s="213"/>
      <c r="AB387" s="213"/>
      <c r="AC387" s="213"/>
      <c r="AD387" s="213"/>
    </row>
    <row r="388" spans="20:30" ht="4.5" customHeight="1">
      <c r="T388" s="213"/>
      <c r="U388" s="213"/>
      <c r="V388" s="213"/>
      <c r="W388" s="213"/>
      <c r="X388" s="213"/>
      <c r="Y388" s="213"/>
      <c r="Z388" s="213"/>
      <c r="AA388" s="213"/>
      <c r="AB388" s="213"/>
      <c r="AC388" s="213"/>
      <c r="AD388" s="213"/>
    </row>
    <row r="389" spans="20:30" ht="11.25">
      <c r="T389" s="213"/>
      <c r="U389" s="213"/>
      <c r="V389" s="213"/>
      <c r="W389" s="213"/>
      <c r="X389" s="213"/>
      <c r="Y389" s="213"/>
      <c r="Z389" s="213"/>
      <c r="AA389" s="213"/>
      <c r="AB389" s="213"/>
      <c r="AC389" s="213"/>
      <c r="AD389" s="213"/>
    </row>
    <row r="390" spans="20:30" ht="11.25">
      <c r="T390" s="213"/>
      <c r="U390" s="213"/>
      <c r="V390" s="213"/>
      <c r="W390" s="213"/>
      <c r="X390" s="213"/>
      <c r="Y390" s="213"/>
      <c r="Z390" s="213"/>
      <c r="AA390" s="213"/>
      <c r="AB390" s="213"/>
      <c r="AC390" s="213"/>
      <c r="AD390" s="213"/>
    </row>
    <row r="391" spans="20:30" ht="11.25">
      <c r="T391" s="213"/>
      <c r="U391" s="213"/>
      <c r="V391" s="213"/>
      <c r="W391" s="213"/>
      <c r="X391" s="213"/>
      <c r="Y391" s="213"/>
      <c r="Z391" s="213"/>
      <c r="AA391" s="213"/>
      <c r="AB391" s="213"/>
      <c r="AC391" s="213"/>
      <c r="AD391" s="213"/>
    </row>
    <row r="392" spans="20:30" ht="4.5" customHeight="1">
      <c r="T392" s="213"/>
      <c r="U392" s="213"/>
      <c r="V392" s="213"/>
      <c r="W392" s="213"/>
      <c r="X392" s="213"/>
      <c r="Y392" s="213"/>
      <c r="Z392" s="213"/>
      <c r="AA392" s="213"/>
      <c r="AB392" s="213"/>
      <c r="AC392" s="213"/>
      <c r="AD392" s="213"/>
    </row>
    <row r="393" spans="20:30" ht="11.25">
      <c r="T393" s="213"/>
      <c r="U393" s="213"/>
      <c r="V393" s="213"/>
      <c r="W393" s="213"/>
      <c r="X393" s="213"/>
      <c r="Y393" s="213"/>
      <c r="Z393" s="213"/>
      <c r="AA393" s="213"/>
      <c r="AB393" s="213"/>
      <c r="AC393" s="213"/>
      <c r="AD393" s="213"/>
    </row>
    <row r="394" spans="20:30" ht="11.25">
      <c r="T394" s="213"/>
      <c r="U394" s="213"/>
      <c r="V394" s="213"/>
      <c r="W394" s="213"/>
      <c r="X394" s="213"/>
      <c r="Y394" s="213"/>
      <c r="Z394" s="213"/>
      <c r="AA394" s="213"/>
      <c r="AB394" s="213"/>
      <c r="AC394" s="213"/>
      <c r="AD394" s="213"/>
    </row>
    <row r="395" spans="20:30" ht="11.25">
      <c r="T395" s="213"/>
      <c r="U395" s="213"/>
      <c r="V395" s="213"/>
      <c r="W395" s="213"/>
      <c r="X395" s="213"/>
      <c r="Y395" s="213"/>
      <c r="Z395" s="213"/>
      <c r="AA395" s="213"/>
      <c r="AB395" s="213"/>
      <c r="AC395" s="213"/>
      <c r="AD395" s="213"/>
    </row>
    <row r="396" spans="20:30" ht="4.5" customHeight="1">
      <c r="T396" s="213"/>
      <c r="U396" s="213"/>
      <c r="V396" s="213"/>
      <c r="W396" s="213"/>
      <c r="X396" s="213"/>
      <c r="Y396" s="213"/>
      <c r="Z396" s="213"/>
      <c r="AA396" s="213"/>
      <c r="AB396" s="213"/>
      <c r="AC396" s="213"/>
      <c r="AD396" s="213"/>
    </row>
    <row r="397" spans="20:30" ht="11.25">
      <c r="T397" s="213"/>
      <c r="U397" s="213"/>
      <c r="V397" s="213"/>
      <c r="W397" s="213"/>
      <c r="X397" s="213"/>
      <c r="Y397" s="213"/>
      <c r="Z397" s="213"/>
      <c r="AA397" s="213"/>
      <c r="AB397" s="213"/>
      <c r="AC397" s="213"/>
      <c r="AD397" s="213"/>
    </row>
    <row r="398" spans="20:30" ht="11.25">
      <c r="T398" s="213"/>
      <c r="U398" s="213"/>
      <c r="V398" s="213"/>
      <c r="W398" s="213"/>
      <c r="X398" s="213"/>
      <c r="Y398" s="213"/>
      <c r="Z398" s="213"/>
      <c r="AA398" s="213"/>
      <c r="AB398" s="213"/>
      <c r="AC398" s="213"/>
      <c r="AD398" s="213"/>
    </row>
    <row r="399" spans="20:30" ht="11.25">
      <c r="T399" s="213"/>
      <c r="U399" s="213"/>
      <c r="V399" s="213"/>
      <c r="W399" s="213"/>
      <c r="X399" s="213"/>
      <c r="Y399" s="213"/>
      <c r="Z399" s="213"/>
      <c r="AA399" s="213"/>
      <c r="AB399" s="213"/>
      <c r="AC399" s="213"/>
      <c r="AD399" s="213"/>
    </row>
    <row r="400" spans="20:30" ht="4.5" customHeight="1">
      <c r="T400" s="213"/>
      <c r="U400" s="213"/>
      <c r="V400" s="213"/>
      <c r="W400" s="213"/>
      <c r="X400" s="213"/>
      <c r="Y400" s="213"/>
      <c r="Z400" s="213"/>
      <c r="AA400" s="213"/>
      <c r="AB400" s="213"/>
      <c r="AC400" s="213"/>
      <c r="AD400" s="213"/>
    </row>
    <row r="401" spans="20:30" ht="11.25">
      <c r="T401" s="213"/>
      <c r="U401" s="213"/>
      <c r="V401" s="213"/>
      <c r="W401" s="213"/>
      <c r="X401" s="213"/>
      <c r="Y401" s="213"/>
      <c r="Z401" s="213"/>
      <c r="AA401" s="213"/>
      <c r="AB401" s="213"/>
      <c r="AC401" s="213"/>
      <c r="AD401" s="213"/>
    </row>
    <row r="402" spans="20:30" ht="11.25">
      <c r="T402" s="213"/>
      <c r="U402" s="213"/>
      <c r="V402" s="213"/>
      <c r="W402" s="213"/>
      <c r="X402" s="213"/>
      <c r="Y402" s="213"/>
      <c r="Z402" s="213"/>
      <c r="AA402" s="213"/>
      <c r="AB402" s="213"/>
      <c r="AC402" s="213"/>
      <c r="AD402" s="213"/>
    </row>
    <row r="403" spans="20:30" ht="11.25">
      <c r="T403" s="213"/>
      <c r="U403" s="213"/>
      <c r="V403" s="213"/>
      <c r="W403" s="213"/>
      <c r="X403" s="213"/>
      <c r="Y403" s="213"/>
      <c r="Z403" s="213"/>
      <c r="AA403" s="213"/>
      <c r="AB403" s="213"/>
      <c r="AC403" s="213"/>
      <c r="AD403" s="213"/>
    </row>
    <row r="404" spans="20:30" ht="4.5" customHeight="1">
      <c r="T404" s="213"/>
      <c r="U404" s="213"/>
      <c r="V404" s="213"/>
      <c r="W404" s="213"/>
      <c r="X404" s="213"/>
      <c r="Y404" s="213"/>
      <c r="Z404" s="213"/>
      <c r="AA404" s="213"/>
      <c r="AB404" s="213"/>
      <c r="AC404" s="213"/>
      <c r="AD404" s="213"/>
    </row>
    <row r="405" spans="20:30" ht="11.25">
      <c r="T405" s="213"/>
      <c r="U405" s="213"/>
      <c r="V405" s="213"/>
      <c r="W405" s="213"/>
      <c r="X405" s="213"/>
      <c r="Y405" s="213"/>
      <c r="Z405" s="213"/>
      <c r="AA405" s="213"/>
      <c r="AB405" s="213"/>
      <c r="AC405" s="213"/>
      <c r="AD405" s="213"/>
    </row>
    <row r="406" spans="20:30" ht="11.25">
      <c r="T406" s="213"/>
      <c r="U406" s="213"/>
      <c r="V406" s="213"/>
      <c r="W406" s="213"/>
      <c r="X406" s="213"/>
      <c r="Y406" s="213"/>
      <c r="Z406" s="213"/>
      <c r="AA406" s="213"/>
      <c r="AB406" s="213"/>
      <c r="AC406" s="213"/>
      <c r="AD406" s="213"/>
    </row>
    <row r="407" spans="20:30" ht="11.25">
      <c r="T407" s="213"/>
      <c r="U407" s="213"/>
      <c r="V407" s="213"/>
      <c r="W407" s="213"/>
      <c r="X407" s="213"/>
      <c r="Y407" s="213"/>
      <c r="Z407" s="213"/>
      <c r="AA407" s="213"/>
      <c r="AB407" s="213"/>
      <c r="AC407" s="213"/>
      <c r="AD407" s="213"/>
    </row>
    <row r="408" spans="20:30" ht="4.5" customHeight="1">
      <c r="T408" s="213"/>
      <c r="U408" s="213"/>
      <c r="V408" s="213"/>
      <c r="W408" s="213"/>
      <c r="X408" s="213"/>
      <c r="Y408" s="213"/>
      <c r="Z408" s="213"/>
      <c r="AA408" s="213"/>
      <c r="AB408" s="213"/>
      <c r="AC408" s="213"/>
      <c r="AD408" s="213"/>
    </row>
    <row r="409" spans="20:30" ht="11.25">
      <c r="T409" s="213"/>
      <c r="U409" s="213"/>
      <c r="V409" s="213"/>
      <c r="W409" s="213"/>
      <c r="X409" s="213"/>
      <c r="Y409" s="213"/>
      <c r="Z409" s="213"/>
      <c r="AA409" s="213"/>
      <c r="AB409" s="213"/>
      <c r="AC409" s="213"/>
      <c r="AD409" s="213"/>
    </row>
    <row r="410" spans="20:30" ht="11.25">
      <c r="T410" s="213"/>
      <c r="U410" s="213"/>
      <c r="V410" s="213"/>
      <c r="W410" s="213"/>
      <c r="X410" s="213"/>
      <c r="Y410" s="213"/>
      <c r="Z410" s="213"/>
      <c r="AA410" s="213"/>
      <c r="AB410" s="213"/>
      <c r="AC410" s="213"/>
      <c r="AD410" s="213"/>
    </row>
    <row r="411" spans="20:30" ht="11.25">
      <c r="T411" s="213"/>
      <c r="U411" s="213"/>
      <c r="V411" s="213"/>
      <c r="W411" s="213"/>
      <c r="X411" s="213"/>
      <c r="Y411" s="213"/>
      <c r="Z411" s="213"/>
      <c r="AA411" s="213"/>
      <c r="AB411" s="213"/>
      <c r="AC411" s="213"/>
      <c r="AD411" s="213"/>
    </row>
    <row r="412" spans="20:30" ht="4.5" customHeight="1">
      <c r="T412" s="213"/>
      <c r="U412" s="213"/>
      <c r="V412" s="213"/>
      <c r="W412" s="213"/>
      <c r="X412" s="213"/>
      <c r="Y412" s="213"/>
      <c r="Z412" s="213"/>
      <c r="AA412" s="213"/>
      <c r="AB412" s="213"/>
      <c r="AC412" s="213"/>
      <c r="AD412" s="213"/>
    </row>
    <row r="413" spans="20:30" ht="11.25">
      <c r="T413" s="213"/>
      <c r="U413" s="213"/>
      <c r="V413" s="213"/>
      <c r="W413" s="213"/>
      <c r="X413" s="213"/>
      <c r="Y413" s="213"/>
      <c r="Z413" s="213"/>
      <c r="AA413" s="213"/>
      <c r="AB413" s="213"/>
      <c r="AC413" s="213"/>
      <c r="AD413" s="213"/>
    </row>
    <row r="414" spans="20:30" ht="11.25">
      <c r="T414" s="213"/>
      <c r="U414" s="213"/>
      <c r="V414" s="213"/>
      <c r="W414" s="213"/>
      <c r="X414" s="213"/>
      <c r="Y414" s="213"/>
      <c r="Z414" s="213"/>
      <c r="AA414" s="213"/>
      <c r="AB414" s="213"/>
      <c r="AC414" s="213"/>
      <c r="AD414" s="213"/>
    </row>
    <row r="415" spans="20:30" ht="11.25">
      <c r="T415" s="213"/>
      <c r="U415" s="213"/>
      <c r="V415" s="213"/>
      <c r="W415" s="213"/>
      <c r="X415" s="213"/>
      <c r="Y415" s="213"/>
      <c r="Z415" s="213"/>
      <c r="AA415" s="213"/>
      <c r="AB415" s="213"/>
      <c r="AC415" s="213"/>
      <c r="AD415" s="213"/>
    </row>
    <row r="416" spans="20:30" ht="4.5" customHeight="1">
      <c r="T416" s="213"/>
      <c r="U416" s="213"/>
      <c r="V416" s="213"/>
      <c r="W416" s="213"/>
      <c r="X416" s="213"/>
      <c r="Y416" s="213"/>
      <c r="Z416" s="213"/>
      <c r="AA416" s="213"/>
      <c r="AB416" s="213"/>
      <c r="AC416" s="213"/>
      <c r="AD416" s="213"/>
    </row>
    <row r="417" spans="20:30" ht="11.25">
      <c r="T417" s="213"/>
      <c r="U417" s="213"/>
      <c r="V417" s="213"/>
      <c r="W417" s="213"/>
      <c r="X417" s="213"/>
      <c r="Y417" s="213"/>
      <c r="Z417" s="213"/>
      <c r="AA417" s="213"/>
      <c r="AB417" s="213"/>
      <c r="AC417" s="213"/>
      <c r="AD417" s="213"/>
    </row>
    <row r="418" spans="20:30" ht="11.25">
      <c r="T418" s="213"/>
      <c r="U418" s="213"/>
      <c r="V418" s="213"/>
      <c r="W418" s="213"/>
      <c r="X418" s="213"/>
      <c r="Y418" s="213"/>
      <c r="Z418" s="213"/>
      <c r="AA418" s="213"/>
      <c r="AB418" s="213"/>
      <c r="AC418" s="213"/>
      <c r="AD418" s="213"/>
    </row>
    <row r="419" spans="20:30" ht="11.25">
      <c r="T419" s="213"/>
      <c r="U419" s="213"/>
      <c r="V419" s="213"/>
      <c r="W419" s="213"/>
      <c r="X419" s="213"/>
      <c r="Y419" s="213"/>
      <c r="Z419" s="213"/>
      <c r="AA419" s="213"/>
      <c r="AB419" s="213"/>
      <c r="AC419" s="213"/>
      <c r="AD419" s="213"/>
    </row>
    <row r="420" spans="20:30" ht="4.5" customHeight="1">
      <c r="T420" s="213"/>
      <c r="U420" s="213"/>
      <c r="V420" s="213"/>
      <c r="W420" s="213"/>
      <c r="X420" s="213"/>
      <c r="Y420" s="213"/>
      <c r="Z420" s="213"/>
      <c r="AA420" s="213"/>
      <c r="AB420" s="213"/>
      <c r="AC420" s="213"/>
      <c r="AD420" s="213"/>
    </row>
    <row r="421" spans="20:30" ht="11.25">
      <c r="T421" s="213"/>
      <c r="U421" s="213"/>
      <c r="V421" s="213"/>
      <c r="W421" s="213"/>
      <c r="X421" s="213"/>
      <c r="Y421" s="213"/>
      <c r="Z421" s="213"/>
      <c r="AA421" s="213"/>
      <c r="AB421" s="213"/>
      <c r="AC421" s="213"/>
      <c r="AD421" s="213"/>
    </row>
    <row r="422" spans="20:30" ht="11.25">
      <c r="T422" s="213"/>
      <c r="U422" s="213"/>
      <c r="V422" s="213"/>
      <c r="W422" s="213"/>
      <c r="X422" s="213"/>
      <c r="Y422" s="213"/>
      <c r="Z422" s="213"/>
      <c r="AA422" s="213"/>
      <c r="AB422" s="213"/>
      <c r="AC422" s="213"/>
      <c r="AD422" s="213"/>
    </row>
    <row r="423" spans="20:30" ht="11.25">
      <c r="T423" s="213"/>
      <c r="U423" s="213"/>
      <c r="V423" s="213"/>
      <c r="W423" s="213"/>
      <c r="X423" s="213"/>
      <c r="Y423" s="213"/>
      <c r="Z423" s="213"/>
      <c r="AA423" s="213"/>
      <c r="AB423" s="213"/>
      <c r="AC423" s="213"/>
      <c r="AD423" s="213"/>
    </row>
    <row r="424" spans="20:30" ht="4.5" customHeight="1">
      <c r="T424" s="213"/>
      <c r="U424" s="213"/>
      <c r="V424" s="213"/>
      <c r="W424" s="213"/>
      <c r="X424" s="213"/>
      <c r="Y424" s="213"/>
      <c r="Z424" s="213"/>
      <c r="AA424" s="213"/>
      <c r="AB424" s="213"/>
      <c r="AC424" s="213"/>
      <c r="AD424" s="213"/>
    </row>
    <row r="425" spans="20:30" ht="11.25">
      <c r="T425" s="213"/>
      <c r="U425" s="213"/>
      <c r="V425" s="213"/>
      <c r="W425" s="213"/>
      <c r="X425" s="213"/>
      <c r="Y425" s="213"/>
      <c r="Z425" s="213"/>
      <c r="AA425" s="213"/>
      <c r="AB425" s="213"/>
      <c r="AC425" s="213"/>
      <c r="AD425" s="213"/>
    </row>
    <row r="426" spans="20:30" ht="11.25">
      <c r="T426" s="213"/>
      <c r="U426" s="213"/>
      <c r="V426" s="213"/>
      <c r="W426" s="213"/>
      <c r="X426" s="213"/>
      <c r="Y426" s="213"/>
      <c r="Z426" s="213"/>
      <c r="AA426" s="213"/>
      <c r="AB426" s="213"/>
      <c r="AC426" s="213"/>
      <c r="AD426" s="213"/>
    </row>
    <row r="427" spans="20:30" ht="11.25">
      <c r="T427" s="213"/>
      <c r="U427" s="213"/>
      <c r="V427" s="213"/>
      <c r="W427" s="213"/>
      <c r="X427" s="213"/>
      <c r="Y427" s="213"/>
      <c r="Z427" s="213"/>
      <c r="AA427" s="213"/>
      <c r="AB427" s="213"/>
      <c r="AC427" s="213"/>
      <c r="AD427" s="213"/>
    </row>
    <row r="428" spans="20:30" ht="4.5" customHeight="1">
      <c r="T428" s="213"/>
      <c r="U428" s="213"/>
      <c r="V428" s="213"/>
      <c r="W428" s="213"/>
      <c r="X428" s="213"/>
      <c r="Y428" s="213"/>
      <c r="Z428" s="213"/>
      <c r="AA428" s="213"/>
      <c r="AB428" s="213"/>
      <c r="AC428" s="213"/>
      <c r="AD428" s="213"/>
    </row>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c r="V456" s="211"/>
    </row>
    <row r="457" ht="15" customHeight="1">
      <c r="V457" s="211"/>
    </row>
    <row r="458" ht="15" customHeight="1"/>
    <row r="459" ht="15" customHeight="1"/>
    <row r="460" ht="15" customHeight="1"/>
    <row r="461" ht="15" customHeight="1"/>
    <row r="462" ht="15" customHeight="1"/>
    <row r="463" ht="15" customHeight="1">
      <c r="V463" s="211"/>
    </row>
    <row r="464" ht="15" customHeight="1">
      <c r="V464" s="211"/>
    </row>
    <row r="465" ht="15" customHeight="1"/>
    <row r="466" ht="15" customHeight="1"/>
    <row r="467" ht="15" customHeight="1"/>
    <row r="468" ht="15" customHeight="1"/>
    <row r="469" ht="15" customHeight="1"/>
    <row r="470" ht="15" customHeight="1"/>
    <row r="471" ht="15" customHeight="1"/>
    <row r="472" ht="15" customHeight="1">
      <c r="V472" s="211"/>
    </row>
    <row r="473" ht="15" customHeight="1">
      <c r="V473" s="211"/>
    </row>
    <row r="474" ht="15" customHeight="1"/>
    <row r="475" ht="15" customHeight="1"/>
    <row r="476" ht="15" customHeight="1"/>
    <row r="477" ht="15" customHeight="1"/>
    <row r="478" ht="15" customHeight="1"/>
    <row r="479" ht="15" customHeight="1"/>
    <row r="480" spans="20:24" ht="15" customHeight="1">
      <c r="T480" s="211">
        <v>1</v>
      </c>
      <c r="U480" s="211">
        <v>5</v>
      </c>
      <c r="V480" s="212">
        <v>8</v>
      </c>
      <c r="W480" s="212">
        <v>13</v>
      </c>
      <c r="X480" s="212">
        <v>16</v>
      </c>
    </row>
    <row r="481" spans="20:24" ht="15" customHeight="1">
      <c r="T481" s="211" t="s">
        <v>158</v>
      </c>
      <c r="U481" s="211" t="s">
        <v>159</v>
      </c>
      <c r="V481" s="212" t="s">
        <v>160</v>
      </c>
      <c r="W481" s="212" t="s">
        <v>161</v>
      </c>
      <c r="X481" s="212" t="s">
        <v>162</v>
      </c>
    </row>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6" ht="11.25">
      <c r="E536" s="6"/>
    </row>
    <row r="537" spans="1:63" s="145" customFormat="1" ht="11.25" hidden="1">
      <c r="A537" s="207" t="s">
        <v>163</v>
      </c>
      <c r="B537" s="208">
        <v>0</v>
      </c>
      <c r="C537" s="208">
        <v>12</v>
      </c>
      <c r="D537" s="208">
        <v>13</v>
      </c>
      <c r="E537" s="209">
        <v>14</v>
      </c>
      <c r="F537" s="209">
        <v>15</v>
      </c>
      <c r="G537" s="209">
        <v>16</v>
      </c>
      <c r="H537" s="209">
        <v>17</v>
      </c>
      <c r="I537" s="209">
        <v>18</v>
      </c>
      <c r="J537" s="208">
        <v>19</v>
      </c>
      <c r="K537" s="208">
        <v>20</v>
      </c>
      <c r="L537" s="208">
        <v>21</v>
      </c>
      <c r="M537" s="208">
        <v>22</v>
      </c>
      <c r="N537" s="208">
        <v>23</v>
      </c>
      <c r="O537" s="208"/>
      <c r="P537" s="208">
        <v>24</v>
      </c>
      <c r="Q537" s="219">
        <v>25</v>
      </c>
      <c r="R537" s="219">
        <v>26</v>
      </c>
      <c r="S537" s="219">
        <v>27</v>
      </c>
      <c r="T537" s="219">
        <v>28</v>
      </c>
      <c r="U537" s="219">
        <v>31</v>
      </c>
      <c r="V537" s="218">
        <v>34</v>
      </c>
      <c r="W537" s="218"/>
      <c r="X537" s="218"/>
      <c r="Y537" s="218"/>
      <c r="Z537" s="213"/>
      <c r="AA537" s="213"/>
      <c r="AB537" s="218"/>
      <c r="AC537" s="213"/>
      <c r="AD537" s="213"/>
      <c r="AE537" s="213"/>
      <c r="AF537" s="213"/>
      <c r="AG537" s="213"/>
      <c r="AH537" s="213"/>
      <c r="AI537" s="213"/>
      <c r="AJ537" s="213"/>
      <c r="AK537" s="213"/>
      <c r="AL537" s="213"/>
      <c r="AM537" s="213"/>
      <c r="AN537" s="213"/>
      <c r="AO537" s="213"/>
      <c r="AP537" s="213"/>
      <c r="AQ537" s="213"/>
      <c r="AR537" s="213"/>
      <c r="AS537" s="213"/>
      <c r="AT537" s="213"/>
      <c r="AU537" s="213"/>
      <c r="AV537" s="213"/>
      <c r="AW537" s="213"/>
      <c r="AX537" s="213"/>
      <c r="AY537" s="213"/>
      <c r="AZ537" s="213"/>
      <c r="BA537" s="213"/>
      <c r="BB537" s="213"/>
      <c r="BC537" s="213"/>
      <c r="BD537" s="213"/>
      <c r="BE537" s="213"/>
      <c r="BF537" s="213"/>
      <c r="BG537" s="213"/>
      <c r="BH537" s="213"/>
      <c r="BI537" s="213"/>
      <c r="BJ537" s="213"/>
      <c r="BK537" s="213"/>
    </row>
    <row r="538" spans="1:63" s="145" customFormat="1" ht="11.25" hidden="1">
      <c r="A538" s="207" t="s">
        <v>164</v>
      </c>
      <c r="B538" s="208">
        <v>50</v>
      </c>
      <c r="C538" s="208">
        <v>35</v>
      </c>
      <c r="D538" s="208">
        <v>31</v>
      </c>
      <c r="E538" s="208">
        <v>28</v>
      </c>
      <c r="F538" s="208">
        <v>24</v>
      </c>
      <c r="G538" s="208">
        <v>22</v>
      </c>
      <c r="H538" s="208">
        <v>19</v>
      </c>
      <c r="I538" s="208">
        <v>17</v>
      </c>
      <c r="J538" s="208">
        <v>15</v>
      </c>
      <c r="K538" s="208">
        <v>12</v>
      </c>
      <c r="L538" s="208">
        <v>11</v>
      </c>
      <c r="M538" s="208">
        <v>9</v>
      </c>
      <c r="N538" s="208">
        <v>8</v>
      </c>
      <c r="O538" s="208"/>
      <c r="P538" s="208">
        <v>6</v>
      </c>
      <c r="Q538" s="219">
        <v>5</v>
      </c>
      <c r="R538" s="219">
        <v>4</v>
      </c>
      <c r="S538" s="219">
        <v>3</v>
      </c>
      <c r="T538" s="219">
        <v>2</v>
      </c>
      <c r="U538" s="219">
        <v>1</v>
      </c>
      <c r="V538" s="218">
        <v>0.5</v>
      </c>
      <c r="W538" s="218"/>
      <c r="X538" s="218"/>
      <c r="Y538" s="218"/>
      <c r="Z538" s="213"/>
      <c r="AA538" s="213"/>
      <c r="AB538" s="218"/>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3"/>
      <c r="AY538" s="213"/>
      <c r="AZ538" s="213"/>
      <c r="BA538" s="213"/>
      <c r="BB538" s="213"/>
      <c r="BC538" s="213"/>
      <c r="BD538" s="213"/>
      <c r="BE538" s="213"/>
      <c r="BF538" s="213"/>
      <c r="BG538" s="213"/>
      <c r="BH538" s="213"/>
      <c r="BI538" s="213"/>
      <c r="BJ538" s="213"/>
      <c r="BK538" s="213"/>
    </row>
    <row r="539" spans="1:63" s="145" customFormat="1" ht="11.25" hidden="1">
      <c r="A539" s="207" t="s">
        <v>157</v>
      </c>
      <c r="B539" s="208">
        <v>1</v>
      </c>
      <c r="C539" s="208">
        <v>2</v>
      </c>
      <c r="D539" s="208">
        <v>3</v>
      </c>
      <c r="E539" s="208">
        <v>4</v>
      </c>
      <c r="F539" s="208">
        <v>5</v>
      </c>
      <c r="G539" s="208">
        <v>6</v>
      </c>
      <c r="H539" s="208">
        <v>7</v>
      </c>
      <c r="I539" s="208">
        <v>8</v>
      </c>
      <c r="J539" s="208">
        <v>9</v>
      </c>
      <c r="K539" s="208">
        <v>10</v>
      </c>
      <c r="L539" s="208">
        <v>11</v>
      </c>
      <c r="M539" s="208">
        <v>12</v>
      </c>
      <c r="N539" s="208">
        <v>13</v>
      </c>
      <c r="O539" s="208"/>
      <c r="P539" s="208">
        <v>14</v>
      </c>
      <c r="Q539" s="219">
        <v>15</v>
      </c>
      <c r="R539" s="219">
        <v>16</v>
      </c>
      <c r="S539" s="219">
        <v>17</v>
      </c>
      <c r="T539" s="219">
        <v>18</v>
      </c>
      <c r="U539" s="219">
        <v>19</v>
      </c>
      <c r="V539" s="218">
        <f>(P1)</f>
        <v>0</v>
      </c>
      <c r="W539" s="218"/>
      <c r="X539" s="218"/>
      <c r="Y539" s="218"/>
      <c r="Z539" s="213"/>
      <c r="AA539" s="213"/>
      <c r="AB539" s="218"/>
      <c r="AC539" s="213"/>
      <c r="AD539" s="213"/>
      <c r="AE539" s="213"/>
      <c r="AF539" s="213"/>
      <c r="AG539" s="213"/>
      <c r="AH539" s="213"/>
      <c r="AI539" s="213"/>
      <c r="AJ539" s="213"/>
      <c r="AK539" s="213"/>
      <c r="AL539" s="213"/>
      <c r="AM539" s="213"/>
      <c r="AN539" s="213"/>
      <c r="AO539" s="213"/>
      <c r="AP539" s="213"/>
      <c r="AQ539" s="213"/>
      <c r="AR539" s="213"/>
      <c r="AS539" s="213"/>
      <c r="AT539" s="213"/>
      <c r="AU539" s="213"/>
      <c r="AV539" s="213"/>
      <c r="AW539" s="213"/>
      <c r="AX539" s="213"/>
      <c r="AY539" s="213"/>
      <c r="AZ539" s="213"/>
      <c r="BA539" s="213"/>
      <c r="BB539" s="213"/>
      <c r="BC539" s="213"/>
      <c r="BD539" s="213"/>
      <c r="BE539" s="213"/>
      <c r="BF539" s="213"/>
      <c r="BG539" s="213"/>
      <c r="BH539" s="213"/>
      <c r="BI539" s="213"/>
      <c r="BJ539" s="213"/>
      <c r="BK539" s="213"/>
    </row>
    <row r="540" spans="1:63" s="145" customFormat="1" ht="11.25" hidden="1">
      <c r="A540" s="207" t="s">
        <v>164</v>
      </c>
      <c r="B540" s="208">
        <v>0.1</v>
      </c>
      <c r="C540" s="208">
        <v>0.4</v>
      </c>
      <c r="D540" s="208">
        <v>1</v>
      </c>
      <c r="E540" s="208">
        <v>2</v>
      </c>
      <c r="F540" s="208">
        <v>5</v>
      </c>
      <c r="G540" s="208">
        <v>9</v>
      </c>
      <c r="H540" s="208">
        <v>16</v>
      </c>
      <c r="I540" s="208">
        <v>25</v>
      </c>
      <c r="J540" s="208">
        <v>37</v>
      </c>
      <c r="K540" s="208">
        <v>50</v>
      </c>
      <c r="L540" s="208">
        <v>63</v>
      </c>
      <c r="M540" s="208">
        <v>75</v>
      </c>
      <c r="N540" s="208">
        <v>84</v>
      </c>
      <c r="O540" s="208"/>
      <c r="P540" s="208">
        <v>91</v>
      </c>
      <c r="Q540" s="219">
        <v>95</v>
      </c>
      <c r="R540" s="219">
        <v>98</v>
      </c>
      <c r="S540" s="219">
        <v>99</v>
      </c>
      <c r="T540" s="219">
        <v>99.599999999999</v>
      </c>
      <c r="U540" s="219">
        <v>99.9</v>
      </c>
      <c r="V540" s="218"/>
      <c r="W540" s="218"/>
      <c r="X540" s="218"/>
      <c r="Y540" s="218"/>
      <c r="Z540" s="213"/>
      <c r="AA540" s="213"/>
      <c r="AB540" s="218"/>
      <c r="AC540" s="213"/>
      <c r="AD540" s="213"/>
      <c r="AE540" s="213"/>
      <c r="AF540" s="213"/>
      <c r="AG540" s="213"/>
      <c r="AH540" s="213"/>
      <c r="AI540" s="213"/>
      <c r="AJ540" s="213"/>
      <c r="AK540" s="213"/>
      <c r="AL540" s="213"/>
      <c r="AM540" s="213"/>
      <c r="AN540" s="213"/>
      <c r="AO540" s="213"/>
      <c r="AP540" s="213"/>
      <c r="AQ540" s="213"/>
      <c r="AR540" s="213"/>
      <c r="AS540" s="213"/>
      <c r="AT540" s="213"/>
      <c r="AU540" s="213"/>
      <c r="AV540" s="213"/>
      <c r="AW540" s="213"/>
      <c r="AX540" s="213"/>
      <c r="AY540" s="213"/>
      <c r="AZ540" s="213"/>
      <c r="BA540" s="213"/>
      <c r="BB540" s="213"/>
      <c r="BC540" s="213"/>
      <c r="BD540" s="213"/>
      <c r="BE540" s="213"/>
      <c r="BF540" s="213"/>
      <c r="BG540" s="213"/>
      <c r="BH540" s="213"/>
      <c r="BI540" s="213"/>
      <c r="BJ540" s="213"/>
      <c r="BK540" s="213"/>
    </row>
    <row r="541" spans="1:92" s="145" customFormat="1" ht="11.25" hidden="1">
      <c r="A541" s="207" t="s">
        <v>165</v>
      </c>
      <c r="B541" s="208">
        <v>6</v>
      </c>
      <c r="C541" s="208">
        <v>7</v>
      </c>
      <c r="D541" s="208">
        <v>8</v>
      </c>
      <c r="E541" s="208">
        <v>9</v>
      </c>
      <c r="F541" s="208">
        <v>10</v>
      </c>
      <c r="G541" s="208">
        <v>11</v>
      </c>
      <c r="H541" s="208">
        <v>12</v>
      </c>
      <c r="I541" s="208">
        <v>13</v>
      </c>
      <c r="J541" s="208">
        <v>14</v>
      </c>
      <c r="K541" s="208">
        <v>15</v>
      </c>
      <c r="L541" s="208">
        <v>16</v>
      </c>
      <c r="M541" s="208">
        <v>17</v>
      </c>
      <c r="N541" s="208">
        <v>18</v>
      </c>
      <c r="O541" s="208"/>
      <c r="P541" s="208">
        <v>19</v>
      </c>
      <c r="Q541" s="219">
        <v>20</v>
      </c>
      <c r="R541" s="219">
        <v>21</v>
      </c>
      <c r="S541" s="219">
        <v>22</v>
      </c>
      <c r="T541" s="219">
        <v>23</v>
      </c>
      <c r="U541" s="219">
        <v>24</v>
      </c>
      <c r="V541" s="218">
        <v>25</v>
      </c>
      <c r="W541" s="218">
        <v>26</v>
      </c>
      <c r="X541" s="218">
        <v>27</v>
      </c>
      <c r="Y541" s="218">
        <v>28</v>
      </c>
      <c r="Z541" s="219">
        <v>29</v>
      </c>
      <c r="AA541" s="219">
        <v>30</v>
      </c>
      <c r="AB541" s="218">
        <v>31</v>
      </c>
      <c r="AC541" s="219">
        <v>32</v>
      </c>
      <c r="AD541" s="219">
        <v>33</v>
      </c>
      <c r="AE541" s="219">
        <v>34</v>
      </c>
      <c r="AF541" s="219">
        <v>35</v>
      </c>
      <c r="AG541" s="219">
        <v>36</v>
      </c>
      <c r="AH541" s="219">
        <v>37</v>
      </c>
      <c r="AI541" s="219">
        <v>38</v>
      </c>
      <c r="AJ541" s="219">
        <v>39</v>
      </c>
      <c r="AK541" s="219">
        <v>40</v>
      </c>
      <c r="AL541" s="219">
        <v>41</v>
      </c>
      <c r="AM541" s="219">
        <v>42</v>
      </c>
      <c r="AN541" s="219">
        <v>43</v>
      </c>
      <c r="AO541" s="219">
        <v>44</v>
      </c>
      <c r="AP541" s="219">
        <v>45</v>
      </c>
      <c r="AQ541" s="219">
        <v>46</v>
      </c>
      <c r="AR541" s="219">
        <v>47</v>
      </c>
      <c r="AS541" s="219">
        <v>48</v>
      </c>
      <c r="AT541" s="219">
        <v>49</v>
      </c>
      <c r="AU541" s="219">
        <v>50</v>
      </c>
      <c r="AV541" s="219">
        <v>51</v>
      </c>
      <c r="AW541" s="219">
        <v>52</v>
      </c>
      <c r="AX541" s="219">
        <v>53</v>
      </c>
      <c r="AY541" s="219">
        <v>54</v>
      </c>
      <c r="AZ541" s="219">
        <v>55</v>
      </c>
      <c r="BA541" s="219">
        <v>56</v>
      </c>
      <c r="BB541" s="219">
        <v>57</v>
      </c>
      <c r="BC541" s="219">
        <v>58</v>
      </c>
      <c r="BD541" s="219">
        <v>59</v>
      </c>
      <c r="BE541" s="219">
        <v>60</v>
      </c>
      <c r="BF541" s="219">
        <v>61</v>
      </c>
      <c r="BG541" s="219">
        <v>62</v>
      </c>
      <c r="BH541" s="219">
        <v>63</v>
      </c>
      <c r="BI541" s="219">
        <v>64</v>
      </c>
      <c r="BJ541" s="219">
        <v>65</v>
      </c>
      <c r="BK541" s="219">
        <v>66</v>
      </c>
      <c r="BL541" s="208">
        <v>67</v>
      </c>
      <c r="BM541" s="208">
        <v>68</v>
      </c>
      <c r="BN541" s="208">
        <v>69</v>
      </c>
      <c r="BO541" s="208">
        <v>70</v>
      </c>
      <c r="BP541" s="208">
        <v>71</v>
      </c>
      <c r="BQ541" s="208">
        <v>72</v>
      </c>
      <c r="BR541" s="208">
        <v>73</v>
      </c>
      <c r="BS541" s="208">
        <v>74</v>
      </c>
      <c r="BT541" s="208">
        <v>75</v>
      </c>
      <c r="BU541" s="208">
        <v>76</v>
      </c>
      <c r="BV541" s="208">
        <v>77</v>
      </c>
      <c r="BW541" s="208">
        <v>78</v>
      </c>
      <c r="BX541" s="208">
        <v>79</v>
      </c>
      <c r="BY541" s="208">
        <v>80</v>
      </c>
      <c r="BZ541" s="208">
        <v>81</v>
      </c>
      <c r="CA541" s="208">
        <v>82</v>
      </c>
      <c r="CB541" s="208">
        <v>83</v>
      </c>
      <c r="CC541" s="208">
        <v>84</v>
      </c>
      <c r="CD541" s="208">
        <v>85</v>
      </c>
      <c r="CE541" s="208">
        <v>86</v>
      </c>
      <c r="CF541" s="208">
        <v>87</v>
      </c>
      <c r="CG541" s="208">
        <v>88</v>
      </c>
      <c r="CH541" s="208">
        <v>89</v>
      </c>
      <c r="CI541" s="208">
        <v>90</v>
      </c>
      <c r="CJ541" s="208">
        <v>91</v>
      </c>
      <c r="CK541" s="208">
        <v>92</v>
      </c>
      <c r="CL541" s="208">
        <v>93</v>
      </c>
      <c r="CM541" s="208">
        <v>94</v>
      </c>
      <c r="CN541" s="145">
        <v>95</v>
      </c>
    </row>
    <row r="542" spans="1:92" s="145" customFormat="1" ht="11.25" hidden="1">
      <c r="A542" s="207" t="s">
        <v>166</v>
      </c>
      <c r="B542" s="208">
        <v>48</v>
      </c>
      <c r="C542" s="208">
        <v>50</v>
      </c>
      <c r="D542" s="208">
        <v>52</v>
      </c>
      <c r="E542" s="208">
        <v>54</v>
      </c>
      <c r="F542" s="208">
        <v>55</v>
      </c>
      <c r="G542" s="208">
        <v>56</v>
      </c>
      <c r="H542" s="208">
        <v>57</v>
      </c>
      <c r="I542" s="208">
        <v>58</v>
      </c>
      <c r="J542" s="208">
        <v>59</v>
      </c>
      <c r="K542" s="208">
        <v>60</v>
      </c>
      <c r="L542" s="208">
        <v>62</v>
      </c>
      <c r="M542" s="208">
        <v>63</v>
      </c>
      <c r="N542" s="208">
        <v>64</v>
      </c>
      <c r="O542" s="208"/>
      <c r="P542" s="208">
        <v>65</v>
      </c>
      <c r="Q542" s="219">
        <v>66</v>
      </c>
      <c r="R542" s="219">
        <v>67</v>
      </c>
      <c r="S542" s="219">
        <v>69</v>
      </c>
      <c r="T542" s="219">
        <v>70</v>
      </c>
      <c r="U542" s="219">
        <v>71</v>
      </c>
      <c r="V542" s="218">
        <v>72</v>
      </c>
      <c r="W542" s="218">
        <v>73</v>
      </c>
      <c r="X542" s="218">
        <v>74</v>
      </c>
      <c r="Y542" s="218">
        <v>75</v>
      </c>
      <c r="Z542" s="219">
        <v>76</v>
      </c>
      <c r="AA542" s="219">
        <v>78</v>
      </c>
      <c r="AB542" s="218">
        <v>79</v>
      </c>
      <c r="AC542" s="219">
        <v>80</v>
      </c>
      <c r="AD542" s="219">
        <v>81</v>
      </c>
      <c r="AE542" s="219">
        <v>82</v>
      </c>
      <c r="AF542" s="219">
        <v>83</v>
      </c>
      <c r="AG542" s="219">
        <v>84</v>
      </c>
      <c r="AH542" s="219">
        <v>85</v>
      </c>
      <c r="AI542" s="219">
        <v>87</v>
      </c>
      <c r="AJ542" s="219">
        <v>88</v>
      </c>
      <c r="AK542" s="219">
        <v>89</v>
      </c>
      <c r="AL542" s="219">
        <v>90</v>
      </c>
      <c r="AM542" s="219">
        <v>91</v>
      </c>
      <c r="AN542" s="219">
        <v>92</v>
      </c>
      <c r="AO542" s="219">
        <v>93</v>
      </c>
      <c r="AP542" s="219">
        <v>94</v>
      </c>
      <c r="AQ542" s="219">
        <v>95</v>
      </c>
      <c r="AR542" s="219">
        <v>97</v>
      </c>
      <c r="AS542" s="219">
        <v>98</v>
      </c>
      <c r="AT542" s="219">
        <v>99</v>
      </c>
      <c r="AU542" s="219">
        <v>100</v>
      </c>
      <c r="AV542" s="219">
        <v>101</v>
      </c>
      <c r="AW542" s="219">
        <v>102</v>
      </c>
      <c r="AX542" s="219">
        <v>104</v>
      </c>
      <c r="AY542" s="219">
        <v>105</v>
      </c>
      <c r="AZ542" s="219">
        <v>106</v>
      </c>
      <c r="BA542" s="219">
        <v>107</v>
      </c>
      <c r="BB542" s="219">
        <v>108</v>
      </c>
      <c r="BC542" s="219">
        <v>110</v>
      </c>
      <c r="BD542" s="219">
        <v>111</v>
      </c>
      <c r="BE542" s="219">
        <v>112</v>
      </c>
      <c r="BF542" s="219">
        <v>113</v>
      </c>
      <c r="BG542" s="219">
        <v>114</v>
      </c>
      <c r="BH542" s="219">
        <v>115</v>
      </c>
      <c r="BI542" s="219">
        <v>117</v>
      </c>
      <c r="BJ542" s="219">
        <v>118</v>
      </c>
      <c r="BK542" s="219">
        <v>119</v>
      </c>
      <c r="BL542" s="208">
        <v>121</v>
      </c>
      <c r="BM542" s="208">
        <v>122</v>
      </c>
      <c r="BN542" s="208">
        <v>123</v>
      </c>
      <c r="BO542" s="208">
        <v>124</v>
      </c>
      <c r="BP542" s="208">
        <v>125</v>
      </c>
      <c r="BQ542" s="208">
        <v>126</v>
      </c>
      <c r="BR542" s="208">
        <v>127</v>
      </c>
      <c r="BS542" s="208">
        <v>128</v>
      </c>
      <c r="BT542" s="208">
        <v>129</v>
      </c>
      <c r="BU542" s="208">
        <v>131</v>
      </c>
      <c r="BV542" s="208">
        <v>132</v>
      </c>
      <c r="BW542" s="208">
        <v>133</v>
      </c>
      <c r="BX542" s="208">
        <v>134</v>
      </c>
      <c r="BY542" s="208">
        <v>135</v>
      </c>
      <c r="BZ542" s="208">
        <v>137</v>
      </c>
      <c r="CA542" s="208">
        <v>138</v>
      </c>
      <c r="CB542" s="208">
        <v>139</v>
      </c>
      <c r="CC542" s="208">
        <v>140</v>
      </c>
      <c r="CD542" s="208">
        <v>141</v>
      </c>
      <c r="CE542" s="208">
        <v>142</v>
      </c>
      <c r="CF542" s="208">
        <v>144</v>
      </c>
      <c r="CG542" s="208">
        <v>145</v>
      </c>
      <c r="CH542" s="208">
        <v>146</v>
      </c>
      <c r="CI542" s="208">
        <v>147</v>
      </c>
      <c r="CJ542" s="208">
        <v>148</v>
      </c>
      <c r="CK542" s="208">
        <v>150</v>
      </c>
      <c r="CL542" s="208">
        <v>151</v>
      </c>
      <c r="CM542" s="208">
        <v>153</v>
      </c>
      <c r="CN542" s="145">
        <v>155</v>
      </c>
    </row>
    <row r="543" spans="1:84" s="145" customFormat="1" ht="11.25" hidden="1">
      <c r="A543" s="207" t="s">
        <v>167</v>
      </c>
      <c r="B543" s="208">
        <v>9</v>
      </c>
      <c r="C543" s="208">
        <v>10</v>
      </c>
      <c r="D543" s="208">
        <v>11</v>
      </c>
      <c r="E543" s="208">
        <v>12</v>
      </c>
      <c r="F543" s="208">
        <v>13</v>
      </c>
      <c r="G543" s="208">
        <v>14</v>
      </c>
      <c r="H543" s="208">
        <v>15</v>
      </c>
      <c r="I543" s="208">
        <v>16</v>
      </c>
      <c r="J543" s="208">
        <v>17</v>
      </c>
      <c r="K543" s="208">
        <v>18</v>
      </c>
      <c r="L543" s="208">
        <v>19</v>
      </c>
      <c r="M543" s="208">
        <v>20</v>
      </c>
      <c r="N543" s="208">
        <v>21</v>
      </c>
      <c r="O543" s="208"/>
      <c r="P543" s="208">
        <v>22</v>
      </c>
      <c r="Q543" s="219">
        <v>23</v>
      </c>
      <c r="R543" s="219">
        <v>24</v>
      </c>
      <c r="S543" s="219">
        <v>25</v>
      </c>
      <c r="T543" s="219">
        <v>26</v>
      </c>
      <c r="U543" s="219">
        <v>27</v>
      </c>
      <c r="V543" s="218">
        <v>28</v>
      </c>
      <c r="W543" s="218">
        <v>29</v>
      </c>
      <c r="X543" s="218">
        <v>30</v>
      </c>
      <c r="Y543" s="218">
        <v>31</v>
      </c>
      <c r="Z543" s="219">
        <v>32</v>
      </c>
      <c r="AA543" s="219">
        <v>33</v>
      </c>
      <c r="AB543" s="218">
        <v>34</v>
      </c>
      <c r="AC543" s="219">
        <v>35</v>
      </c>
      <c r="AD543" s="219">
        <v>36</v>
      </c>
      <c r="AE543" s="219">
        <v>37</v>
      </c>
      <c r="AF543" s="219">
        <v>38</v>
      </c>
      <c r="AG543" s="219">
        <v>39</v>
      </c>
      <c r="AH543" s="219">
        <v>40</v>
      </c>
      <c r="AI543" s="219">
        <v>41</v>
      </c>
      <c r="AJ543" s="219">
        <v>42</v>
      </c>
      <c r="AK543" s="219">
        <v>43</v>
      </c>
      <c r="AL543" s="219">
        <v>44</v>
      </c>
      <c r="AM543" s="219">
        <v>45</v>
      </c>
      <c r="AN543" s="219">
        <v>46</v>
      </c>
      <c r="AO543" s="219">
        <v>47</v>
      </c>
      <c r="AP543" s="219">
        <v>48</v>
      </c>
      <c r="AQ543" s="219">
        <v>49</v>
      </c>
      <c r="AR543" s="219">
        <v>50</v>
      </c>
      <c r="AS543" s="219">
        <v>51</v>
      </c>
      <c r="AT543" s="219">
        <v>52</v>
      </c>
      <c r="AU543" s="219">
        <v>53</v>
      </c>
      <c r="AV543" s="219">
        <v>54</v>
      </c>
      <c r="AW543" s="219">
        <v>55</v>
      </c>
      <c r="AX543" s="219">
        <v>56</v>
      </c>
      <c r="AY543" s="219">
        <v>57</v>
      </c>
      <c r="AZ543" s="219">
        <v>58</v>
      </c>
      <c r="BA543" s="219">
        <v>59</v>
      </c>
      <c r="BB543" s="219">
        <v>60</v>
      </c>
      <c r="BC543" s="219">
        <v>61</v>
      </c>
      <c r="BD543" s="219">
        <v>62</v>
      </c>
      <c r="BE543" s="219">
        <v>63</v>
      </c>
      <c r="BF543" s="219">
        <v>64</v>
      </c>
      <c r="BG543" s="219">
        <v>65</v>
      </c>
      <c r="BH543" s="219">
        <v>66</v>
      </c>
      <c r="BI543" s="219">
        <v>67</v>
      </c>
      <c r="BJ543" s="219">
        <v>68</v>
      </c>
      <c r="BK543" s="219">
        <v>69</v>
      </c>
      <c r="BL543" s="208">
        <v>70</v>
      </c>
      <c r="BM543" s="208">
        <v>71</v>
      </c>
      <c r="BN543" s="208">
        <v>72</v>
      </c>
      <c r="BO543" s="208">
        <v>73</v>
      </c>
      <c r="BP543" s="208">
        <v>74</v>
      </c>
      <c r="BQ543" s="208">
        <v>75</v>
      </c>
      <c r="BR543" s="208">
        <v>76</v>
      </c>
      <c r="BS543" s="208">
        <v>77</v>
      </c>
      <c r="BT543" s="208">
        <v>78</v>
      </c>
      <c r="BU543" s="208">
        <v>79</v>
      </c>
      <c r="BV543" s="208">
        <v>80</v>
      </c>
      <c r="BW543" s="208">
        <v>81</v>
      </c>
      <c r="BX543" s="208">
        <v>82</v>
      </c>
      <c r="BY543" s="208">
        <v>83</v>
      </c>
      <c r="BZ543" s="208">
        <v>84</v>
      </c>
      <c r="CA543" s="208">
        <v>85</v>
      </c>
      <c r="CB543" s="208">
        <v>86</v>
      </c>
      <c r="CC543" s="208">
        <v>87</v>
      </c>
      <c r="CD543" s="208">
        <v>88</v>
      </c>
      <c r="CE543" s="208">
        <v>89</v>
      </c>
      <c r="CF543" s="208">
        <v>90</v>
      </c>
    </row>
    <row r="544" spans="1:87" s="145" customFormat="1" ht="11.25" hidden="1">
      <c r="A544" s="207" t="s">
        <v>168</v>
      </c>
      <c r="B544" s="208">
        <v>50</v>
      </c>
      <c r="C544" s="208">
        <v>52</v>
      </c>
      <c r="D544" s="208">
        <v>53</v>
      </c>
      <c r="E544" s="208">
        <v>54</v>
      </c>
      <c r="F544" s="208">
        <v>55</v>
      </c>
      <c r="G544" s="208">
        <v>57</v>
      </c>
      <c r="H544" s="208">
        <v>58</v>
      </c>
      <c r="I544" s="208">
        <v>59</v>
      </c>
      <c r="J544" s="208">
        <v>60</v>
      </c>
      <c r="K544" s="208">
        <v>62</v>
      </c>
      <c r="L544" s="208">
        <v>63</v>
      </c>
      <c r="M544" s="208">
        <v>64</v>
      </c>
      <c r="N544" s="208">
        <v>65</v>
      </c>
      <c r="O544" s="208"/>
      <c r="P544" s="208">
        <v>66</v>
      </c>
      <c r="Q544" s="219">
        <v>68</v>
      </c>
      <c r="R544" s="219">
        <v>69</v>
      </c>
      <c r="S544" s="219">
        <v>70</v>
      </c>
      <c r="T544" s="219">
        <v>71</v>
      </c>
      <c r="U544" s="219">
        <v>72</v>
      </c>
      <c r="V544" s="218">
        <v>73</v>
      </c>
      <c r="W544" s="218">
        <v>74</v>
      </c>
      <c r="X544" s="218">
        <v>75</v>
      </c>
      <c r="Y544" s="218">
        <v>77</v>
      </c>
      <c r="Z544" s="219">
        <v>78</v>
      </c>
      <c r="AA544" s="219">
        <v>79</v>
      </c>
      <c r="AB544" s="218">
        <v>80</v>
      </c>
      <c r="AC544" s="219">
        <v>81</v>
      </c>
      <c r="AD544" s="219">
        <v>82</v>
      </c>
      <c r="AE544" s="219">
        <v>83</v>
      </c>
      <c r="AF544" s="219">
        <v>84</v>
      </c>
      <c r="AG544" s="219">
        <v>86</v>
      </c>
      <c r="AH544" s="219">
        <v>87</v>
      </c>
      <c r="AI544" s="219">
        <v>89</v>
      </c>
      <c r="AJ544" s="219">
        <v>90</v>
      </c>
      <c r="AK544" s="219">
        <v>91</v>
      </c>
      <c r="AL544" s="219">
        <v>93</v>
      </c>
      <c r="AM544" s="219">
        <v>94</v>
      </c>
      <c r="AN544" s="219">
        <v>95</v>
      </c>
      <c r="AO544" s="219">
        <v>96</v>
      </c>
      <c r="AP544" s="219">
        <v>98</v>
      </c>
      <c r="AQ544" s="219">
        <v>99</v>
      </c>
      <c r="AR544" s="219">
        <v>100</v>
      </c>
      <c r="AS544" s="219">
        <v>102</v>
      </c>
      <c r="AT544" s="219">
        <v>103</v>
      </c>
      <c r="AU544" s="219">
        <v>104</v>
      </c>
      <c r="AV544" s="219">
        <v>106</v>
      </c>
      <c r="AW544" s="219">
        <v>107</v>
      </c>
      <c r="AX544" s="219">
        <v>108</v>
      </c>
      <c r="AY544" s="219">
        <v>110</v>
      </c>
      <c r="AZ544" s="219">
        <v>111</v>
      </c>
      <c r="BA544" s="219">
        <v>112</v>
      </c>
      <c r="BB544" s="219">
        <v>113</v>
      </c>
      <c r="BC544" s="219">
        <v>115</v>
      </c>
      <c r="BD544" s="219">
        <v>116</v>
      </c>
      <c r="BE544" s="219">
        <v>117</v>
      </c>
      <c r="BF544" s="219">
        <v>119</v>
      </c>
      <c r="BG544" s="219">
        <v>120</v>
      </c>
      <c r="BH544" s="219">
        <v>121</v>
      </c>
      <c r="BI544" s="219">
        <v>123</v>
      </c>
      <c r="BJ544" s="219">
        <v>125</v>
      </c>
      <c r="BK544" s="219">
        <v>126</v>
      </c>
      <c r="BL544" s="208">
        <v>127</v>
      </c>
      <c r="BM544" s="208">
        <v>129</v>
      </c>
      <c r="BN544" s="208">
        <v>130</v>
      </c>
      <c r="BO544" s="208">
        <v>131</v>
      </c>
      <c r="BP544" s="208">
        <v>132</v>
      </c>
      <c r="BQ544" s="208">
        <v>133</v>
      </c>
      <c r="BR544" s="208">
        <v>135</v>
      </c>
      <c r="BS544" s="208">
        <v>136</v>
      </c>
      <c r="BT544" s="208">
        <v>137</v>
      </c>
      <c r="BU544" s="208">
        <v>139</v>
      </c>
      <c r="BV544" s="208">
        <v>140</v>
      </c>
      <c r="BW544" s="208">
        <v>141</v>
      </c>
      <c r="BX544" s="208">
        <v>142</v>
      </c>
      <c r="BY544" s="208">
        <v>144</v>
      </c>
      <c r="BZ544" s="208">
        <v>145</v>
      </c>
      <c r="CA544" s="208">
        <v>146</v>
      </c>
      <c r="CB544" s="208">
        <v>147</v>
      </c>
      <c r="CC544" s="208">
        <v>148</v>
      </c>
      <c r="CD544" s="208">
        <v>150</v>
      </c>
      <c r="CE544" s="208">
        <v>151</v>
      </c>
      <c r="CF544" s="208">
        <v>152</v>
      </c>
      <c r="CG544" s="145">
        <v>153</v>
      </c>
      <c r="CH544" s="145">
        <v>154</v>
      </c>
      <c r="CI544" s="145">
        <v>155</v>
      </c>
    </row>
    <row r="545" spans="1:123" s="145" customFormat="1" ht="11.25" hidden="1">
      <c r="A545" s="207" t="s">
        <v>169</v>
      </c>
      <c r="B545" s="208">
        <v>15</v>
      </c>
      <c r="C545" s="208">
        <v>16</v>
      </c>
      <c r="D545" s="208">
        <v>18</v>
      </c>
      <c r="E545" s="208">
        <v>19</v>
      </c>
      <c r="F545" s="208">
        <v>21</v>
      </c>
      <c r="G545" s="208">
        <v>23</v>
      </c>
      <c r="H545" s="208">
        <v>24</v>
      </c>
      <c r="I545" s="208">
        <v>26</v>
      </c>
      <c r="J545" s="208">
        <v>28</v>
      </c>
      <c r="K545" s="208">
        <v>29</v>
      </c>
      <c r="L545" s="208">
        <v>31</v>
      </c>
      <c r="M545" s="208">
        <v>33</v>
      </c>
      <c r="N545" s="208">
        <v>34</v>
      </c>
      <c r="O545" s="208"/>
      <c r="P545" s="208">
        <v>35</v>
      </c>
      <c r="Q545" s="219">
        <v>36</v>
      </c>
      <c r="R545" s="219">
        <v>38</v>
      </c>
      <c r="S545" s="219">
        <v>39</v>
      </c>
      <c r="T545" s="219">
        <v>41</v>
      </c>
      <c r="U545" s="219">
        <v>42</v>
      </c>
      <c r="V545" s="218">
        <v>44</v>
      </c>
      <c r="W545" s="218">
        <v>46</v>
      </c>
      <c r="X545" s="218">
        <v>47</v>
      </c>
      <c r="Y545" s="218">
        <v>48</v>
      </c>
      <c r="Z545" s="219">
        <v>50</v>
      </c>
      <c r="AA545" s="219">
        <v>52</v>
      </c>
      <c r="AB545" s="218">
        <v>54</v>
      </c>
      <c r="AC545" s="219">
        <v>56</v>
      </c>
      <c r="AD545" s="219">
        <v>57</v>
      </c>
      <c r="AE545" s="219">
        <v>59</v>
      </c>
      <c r="AF545" s="219">
        <v>60</v>
      </c>
      <c r="AG545" s="219">
        <v>62</v>
      </c>
      <c r="AH545" s="219">
        <v>64</v>
      </c>
      <c r="AI545" s="219">
        <v>66</v>
      </c>
      <c r="AJ545" s="219">
        <v>68</v>
      </c>
      <c r="AK545" s="219">
        <v>69</v>
      </c>
      <c r="AL545" s="219">
        <v>70</v>
      </c>
      <c r="AM545" s="219">
        <v>72</v>
      </c>
      <c r="AN545" s="219">
        <v>73</v>
      </c>
      <c r="AO545" s="219">
        <v>75</v>
      </c>
      <c r="AP545" s="219">
        <v>77</v>
      </c>
      <c r="AQ545" s="219">
        <v>78</v>
      </c>
      <c r="AR545" s="219">
        <v>80</v>
      </c>
      <c r="AS545" s="219">
        <v>82</v>
      </c>
      <c r="AT545" s="219">
        <v>83</v>
      </c>
      <c r="AU545" s="219">
        <v>84</v>
      </c>
      <c r="AV545" s="219">
        <v>86</v>
      </c>
      <c r="AW545" s="219">
        <v>87</v>
      </c>
      <c r="AX545" s="219">
        <v>89</v>
      </c>
      <c r="AY545" s="219">
        <v>91</v>
      </c>
      <c r="AZ545" s="219">
        <v>92</v>
      </c>
      <c r="BA545" s="219">
        <v>94</v>
      </c>
      <c r="BB545" s="219">
        <v>95</v>
      </c>
      <c r="BC545" s="219">
        <v>97</v>
      </c>
      <c r="BD545" s="219">
        <v>98</v>
      </c>
      <c r="BE545" s="219">
        <v>100</v>
      </c>
      <c r="BF545" s="219">
        <v>101</v>
      </c>
      <c r="BG545" s="219">
        <v>103</v>
      </c>
      <c r="BH545" s="219">
        <v>104</v>
      </c>
      <c r="BI545" s="219">
        <v>105</v>
      </c>
      <c r="BJ545" s="219">
        <v>107</v>
      </c>
      <c r="BK545" s="219">
        <v>108</v>
      </c>
      <c r="BL545" s="208">
        <v>110</v>
      </c>
      <c r="BM545" s="208">
        <v>112</v>
      </c>
      <c r="BN545" s="208">
        <v>113</v>
      </c>
      <c r="BO545" s="208">
        <v>115</v>
      </c>
      <c r="BP545" s="208">
        <v>116</v>
      </c>
      <c r="BQ545" s="208">
        <v>117</v>
      </c>
      <c r="BR545" s="208">
        <v>119</v>
      </c>
      <c r="BS545" s="208">
        <v>121</v>
      </c>
      <c r="BT545" s="208">
        <v>122</v>
      </c>
      <c r="BU545" s="208">
        <v>123</v>
      </c>
      <c r="BV545" s="208">
        <v>125</v>
      </c>
      <c r="BW545" s="208">
        <v>126</v>
      </c>
      <c r="BX545" s="208">
        <v>127</v>
      </c>
      <c r="BY545" s="208">
        <v>128</v>
      </c>
      <c r="BZ545" s="208">
        <v>129</v>
      </c>
      <c r="CA545" s="208">
        <v>131</v>
      </c>
      <c r="CB545" s="208">
        <v>133</v>
      </c>
      <c r="CC545" s="208">
        <v>135</v>
      </c>
      <c r="CD545" s="208">
        <v>136</v>
      </c>
      <c r="CE545" s="208">
        <v>137</v>
      </c>
      <c r="CF545" s="208">
        <v>139</v>
      </c>
      <c r="CG545" s="208">
        <v>141</v>
      </c>
      <c r="CH545" s="208">
        <v>142</v>
      </c>
      <c r="CI545" s="208">
        <v>143</v>
      </c>
      <c r="CJ545" s="208">
        <v>145</v>
      </c>
      <c r="CK545" s="208">
        <v>147</v>
      </c>
      <c r="CL545" s="208">
        <v>148</v>
      </c>
      <c r="CM545" s="208">
        <v>150</v>
      </c>
      <c r="CN545" s="208">
        <v>151</v>
      </c>
      <c r="CO545" s="208">
        <v>153</v>
      </c>
      <c r="CP545" s="208">
        <v>154</v>
      </c>
      <c r="CQ545" s="208">
        <v>156</v>
      </c>
      <c r="CR545" s="208">
        <v>157</v>
      </c>
      <c r="CS545" s="208">
        <v>158</v>
      </c>
      <c r="CT545" s="208">
        <v>160</v>
      </c>
      <c r="CU545" s="208">
        <v>162</v>
      </c>
      <c r="CV545" s="208">
        <v>163</v>
      </c>
      <c r="CW545" s="208">
        <v>164</v>
      </c>
      <c r="CX545" s="208">
        <v>166</v>
      </c>
      <c r="CY545" s="208">
        <v>167</v>
      </c>
      <c r="CZ545" s="208">
        <v>169</v>
      </c>
      <c r="DA545" s="208">
        <v>170</v>
      </c>
      <c r="DB545" s="208">
        <v>172</v>
      </c>
      <c r="DC545" s="208">
        <v>173</v>
      </c>
      <c r="DD545" s="208">
        <v>175</v>
      </c>
      <c r="DE545" s="208">
        <v>176</v>
      </c>
      <c r="DF545" s="208">
        <v>178</v>
      </c>
      <c r="DG545" s="208">
        <v>179</v>
      </c>
      <c r="DH545" s="208">
        <v>181</v>
      </c>
      <c r="DI545" s="208">
        <v>183</v>
      </c>
      <c r="DJ545" s="208">
        <v>185</v>
      </c>
      <c r="DK545" s="208">
        <v>187</v>
      </c>
      <c r="DL545" s="208">
        <v>188</v>
      </c>
      <c r="DM545" s="208">
        <v>189</v>
      </c>
      <c r="DN545" s="208"/>
      <c r="DO545" s="208"/>
      <c r="DP545" s="208"/>
      <c r="DQ545" s="208"/>
      <c r="DR545" s="208"/>
      <c r="DS545" s="208"/>
    </row>
    <row r="546" spans="1:123" s="145" customFormat="1" ht="11.25" hidden="1">
      <c r="A546" s="207" t="s">
        <v>170</v>
      </c>
      <c r="B546" s="208">
        <v>46</v>
      </c>
      <c r="C546" s="208">
        <v>47</v>
      </c>
      <c r="D546" s="208">
        <v>48</v>
      </c>
      <c r="E546" s="208">
        <v>49</v>
      </c>
      <c r="F546" s="208">
        <v>50</v>
      </c>
      <c r="G546" s="208">
        <v>51</v>
      </c>
      <c r="H546" s="208">
        <v>52</v>
      </c>
      <c r="I546" s="208">
        <v>53</v>
      </c>
      <c r="J546" s="208">
        <v>54</v>
      </c>
      <c r="K546" s="208">
        <v>55</v>
      </c>
      <c r="L546" s="208">
        <v>56</v>
      </c>
      <c r="M546" s="208">
        <v>57</v>
      </c>
      <c r="N546" s="208">
        <v>58</v>
      </c>
      <c r="O546" s="208"/>
      <c r="P546" s="208">
        <v>59</v>
      </c>
      <c r="Q546" s="219">
        <v>60</v>
      </c>
      <c r="R546" s="219">
        <v>61</v>
      </c>
      <c r="S546" s="219">
        <v>62</v>
      </c>
      <c r="T546" s="219">
        <v>63</v>
      </c>
      <c r="U546" s="219">
        <v>64</v>
      </c>
      <c r="V546" s="218">
        <v>65</v>
      </c>
      <c r="W546" s="218">
        <v>66</v>
      </c>
      <c r="X546" s="218">
        <v>67</v>
      </c>
      <c r="Y546" s="218">
        <v>68</v>
      </c>
      <c r="Z546" s="219">
        <v>69</v>
      </c>
      <c r="AA546" s="219">
        <v>70</v>
      </c>
      <c r="AB546" s="218">
        <v>71</v>
      </c>
      <c r="AC546" s="219">
        <v>72</v>
      </c>
      <c r="AD546" s="219">
        <v>73</v>
      </c>
      <c r="AE546" s="219">
        <v>74</v>
      </c>
      <c r="AF546" s="219">
        <v>75</v>
      </c>
      <c r="AG546" s="219">
        <v>76</v>
      </c>
      <c r="AH546" s="219">
        <v>77</v>
      </c>
      <c r="AI546" s="219">
        <v>78</v>
      </c>
      <c r="AJ546" s="219">
        <v>79</v>
      </c>
      <c r="AK546" s="219">
        <v>80</v>
      </c>
      <c r="AL546" s="219">
        <v>81</v>
      </c>
      <c r="AM546" s="219">
        <v>82</v>
      </c>
      <c r="AN546" s="219">
        <v>83</v>
      </c>
      <c r="AO546" s="219">
        <v>84</v>
      </c>
      <c r="AP546" s="219">
        <v>85</v>
      </c>
      <c r="AQ546" s="219">
        <v>86</v>
      </c>
      <c r="AR546" s="219">
        <v>87</v>
      </c>
      <c r="AS546" s="219">
        <v>88</v>
      </c>
      <c r="AT546" s="219">
        <v>89</v>
      </c>
      <c r="AU546" s="219">
        <v>90</v>
      </c>
      <c r="AV546" s="219">
        <v>91</v>
      </c>
      <c r="AW546" s="219">
        <v>92</v>
      </c>
      <c r="AX546" s="219">
        <v>93</v>
      </c>
      <c r="AY546" s="219">
        <v>94</v>
      </c>
      <c r="AZ546" s="219">
        <v>95</v>
      </c>
      <c r="BA546" s="219">
        <v>96</v>
      </c>
      <c r="BB546" s="219">
        <v>97</v>
      </c>
      <c r="BC546" s="219">
        <v>98</v>
      </c>
      <c r="BD546" s="219">
        <v>99</v>
      </c>
      <c r="BE546" s="219">
        <v>100</v>
      </c>
      <c r="BF546" s="219">
        <v>101</v>
      </c>
      <c r="BG546" s="219">
        <v>102</v>
      </c>
      <c r="BH546" s="219">
        <v>103</v>
      </c>
      <c r="BI546" s="219">
        <v>104</v>
      </c>
      <c r="BJ546" s="219">
        <v>105</v>
      </c>
      <c r="BK546" s="219">
        <v>106</v>
      </c>
      <c r="BL546" s="208">
        <v>107</v>
      </c>
      <c r="BM546" s="208">
        <v>108</v>
      </c>
      <c r="BN546" s="208">
        <v>109</v>
      </c>
      <c r="BO546" s="208">
        <v>110</v>
      </c>
      <c r="BP546" s="208">
        <v>111</v>
      </c>
      <c r="BQ546" s="208">
        <v>112</v>
      </c>
      <c r="BR546" s="208">
        <v>113</v>
      </c>
      <c r="BS546" s="208">
        <v>114</v>
      </c>
      <c r="BT546" s="208">
        <v>115</v>
      </c>
      <c r="BU546" s="208">
        <v>116</v>
      </c>
      <c r="BV546" s="208">
        <v>117</v>
      </c>
      <c r="BW546" s="208">
        <v>118</v>
      </c>
      <c r="BX546" s="208">
        <v>119</v>
      </c>
      <c r="BY546" s="208">
        <v>120</v>
      </c>
      <c r="BZ546" s="208">
        <v>121</v>
      </c>
      <c r="CA546" s="208">
        <v>122</v>
      </c>
      <c r="CB546" s="208">
        <v>123</v>
      </c>
      <c r="CC546" s="208">
        <v>124</v>
      </c>
      <c r="CD546" s="208">
        <v>125</v>
      </c>
      <c r="CE546" s="208">
        <v>126</v>
      </c>
      <c r="CF546" s="208">
        <v>127</v>
      </c>
      <c r="CG546" s="208">
        <v>128</v>
      </c>
      <c r="CH546" s="208">
        <v>129</v>
      </c>
      <c r="CI546" s="208">
        <v>130</v>
      </c>
      <c r="CJ546" s="208">
        <v>131</v>
      </c>
      <c r="CK546" s="208">
        <v>132</v>
      </c>
      <c r="CL546" s="208">
        <v>133</v>
      </c>
      <c r="CM546" s="208">
        <v>134</v>
      </c>
      <c r="CN546" s="208">
        <v>135</v>
      </c>
      <c r="CO546" s="208">
        <v>136</v>
      </c>
      <c r="CP546" s="208">
        <v>137</v>
      </c>
      <c r="CQ546" s="208">
        <v>138</v>
      </c>
      <c r="CR546" s="208">
        <v>139</v>
      </c>
      <c r="CS546" s="208">
        <v>140</v>
      </c>
      <c r="CT546" s="208">
        <v>141</v>
      </c>
      <c r="CU546" s="208">
        <v>142</v>
      </c>
      <c r="CV546" s="208">
        <v>143</v>
      </c>
      <c r="CW546" s="208">
        <v>144</v>
      </c>
      <c r="CX546" s="208">
        <v>145</v>
      </c>
      <c r="CY546" s="208">
        <v>146</v>
      </c>
      <c r="CZ546" s="208">
        <v>147</v>
      </c>
      <c r="DA546" s="208">
        <v>148</v>
      </c>
      <c r="DB546" s="208">
        <v>149</v>
      </c>
      <c r="DC546" s="208">
        <v>150</v>
      </c>
      <c r="DD546" s="208">
        <v>151</v>
      </c>
      <c r="DE546" s="208">
        <v>152</v>
      </c>
      <c r="DF546" s="208">
        <v>153</v>
      </c>
      <c r="DG546" s="208">
        <v>154</v>
      </c>
      <c r="DH546" s="208">
        <v>155</v>
      </c>
      <c r="DI546" s="208">
        <v>156</v>
      </c>
      <c r="DJ546" s="208">
        <v>157</v>
      </c>
      <c r="DK546" s="208">
        <v>158</v>
      </c>
      <c r="DL546" s="208">
        <v>159</v>
      </c>
      <c r="DM546" s="208">
        <v>160</v>
      </c>
      <c r="DN546" s="208"/>
      <c r="DO546" s="208"/>
      <c r="DP546" s="208"/>
      <c r="DQ546" s="208"/>
      <c r="DR546" s="208"/>
      <c r="DS546" s="208"/>
    </row>
    <row r="547" spans="1:63" s="145" customFormat="1" ht="11.25" hidden="1">
      <c r="A547" s="207" t="s">
        <v>171</v>
      </c>
      <c r="B547" s="208">
        <v>0</v>
      </c>
      <c r="C547" s="208">
        <v>1</v>
      </c>
      <c r="D547" s="208">
        <v>2</v>
      </c>
      <c r="E547" s="208">
        <v>3</v>
      </c>
      <c r="F547" s="208">
        <v>4</v>
      </c>
      <c r="G547" s="208">
        <v>5</v>
      </c>
      <c r="H547" s="208">
        <v>6</v>
      </c>
      <c r="I547" s="208">
        <v>7</v>
      </c>
      <c r="J547" s="208">
        <v>8</v>
      </c>
      <c r="K547" s="208">
        <v>9</v>
      </c>
      <c r="L547" s="208">
        <v>10</v>
      </c>
      <c r="M547" s="208">
        <v>11</v>
      </c>
      <c r="N547" s="208">
        <v>12</v>
      </c>
      <c r="O547" s="208"/>
      <c r="P547" s="208">
        <v>13</v>
      </c>
      <c r="Q547" s="219">
        <v>14</v>
      </c>
      <c r="R547" s="219">
        <v>15</v>
      </c>
      <c r="S547" s="219">
        <v>16</v>
      </c>
      <c r="T547" s="219">
        <v>17</v>
      </c>
      <c r="U547" s="219">
        <v>1</v>
      </c>
      <c r="V547" s="218">
        <v>2</v>
      </c>
      <c r="W547" s="218">
        <v>3</v>
      </c>
      <c r="X547" s="218">
        <v>4</v>
      </c>
      <c r="Y547" s="218">
        <v>5</v>
      </c>
      <c r="Z547" s="219">
        <v>6</v>
      </c>
      <c r="AA547" s="219">
        <v>7</v>
      </c>
      <c r="AB547" s="218">
        <v>8</v>
      </c>
      <c r="AC547" s="219">
        <v>9</v>
      </c>
      <c r="AD547" s="219">
        <v>10</v>
      </c>
      <c r="AE547" s="219">
        <v>11</v>
      </c>
      <c r="AF547" s="219">
        <v>12</v>
      </c>
      <c r="AG547" s="219">
        <v>13</v>
      </c>
      <c r="AH547" s="219">
        <v>14</v>
      </c>
      <c r="AI547" s="219">
        <v>15</v>
      </c>
      <c r="AJ547" s="219">
        <v>16</v>
      </c>
      <c r="AK547" s="213"/>
      <c r="AL547" s="213"/>
      <c r="AM547" s="213"/>
      <c r="AN547" s="213"/>
      <c r="AO547" s="213"/>
      <c r="AP547" s="213"/>
      <c r="AQ547" s="213"/>
      <c r="AR547" s="213"/>
      <c r="AS547" s="213"/>
      <c r="AT547" s="213"/>
      <c r="AU547" s="213"/>
      <c r="AV547" s="213"/>
      <c r="AW547" s="213"/>
      <c r="AX547" s="213"/>
      <c r="AY547" s="213"/>
      <c r="AZ547" s="213"/>
      <c r="BA547" s="213"/>
      <c r="BB547" s="213"/>
      <c r="BC547" s="213"/>
      <c r="BD547" s="213"/>
      <c r="BE547" s="213"/>
      <c r="BF547" s="213"/>
      <c r="BG547" s="213"/>
      <c r="BH547" s="213"/>
      <c r="BI547" s="213"/>
      <c r="BJ547" s="213"/>
      <c r="BK547" s="213"/>
    </row>
    <row r="548" spans="1:63" s="145" customFormat="1" ht="11.25" hidden="1">
      <c r="A548" s="207" t="s">
        <v>164</v>
      </c>
      <c r="B548" s="208">
        <v>100</v>
      </c>
      <c r="C548" s="208">
        <v>100</v>
      </c>
      <c r="D548" s="208">
        <v>100</v>
      </c>
      <c r="E548" s="208">
        <v>100</v>
      </c>
      <c r="F548" s="208">
        <v>99</v>
      </c>
      <c r="G548" s="208">
        <v>96</v>
      </c>
      <c r="H548" s="208">
        <v>89</v>
      </c>
      <c r="I548" s="208">
        <v>73</v>
      </c>
      <c r="J548" s="208">
        <v>56</v>
      </c>
      <c r="K548" s="208">
        <v>39</v>
      </c>
      <c r="L548" s="208">
        <v>26</v>
      </c>
      <c r="M548" s="208">
        <v>14</v>
      </c>
      <c r="N548" s="208">
        <v>7</v>
      </c>
      <c r="O548" s="208"/>
      <c r="P548" s="208">
        <v>3</v>
      </c>
      <c r="Q548" s="219">
        <v>2</v>
      </c>
      <c r="R548" s="219">
        <v>0.7</v>
      </c>
      <c r="S548" s="219">
        <v>0.3</v>
      </c>
      <c r="T548" s="219">
        <v>0.1</v>
      </c>
      <c r="U548" s="219">
        <v>100</v>
      </c>
      <c r="V548" s="218">
        <v>100</v>
      </c>
      <c r="W548" s="218">
        <v>99</v>
      </c>
      <c r="X548" s="218">
        <v>99</v>
      </c>
      <c r="Y548" s="218">
        <v>95</v>
      </c>
      <c r="Z548" s="219">
        <v>86</v>
      </c>
      <c r="AA548" s="219">
        <v>70</v>
      </c>
      <c r="AB548" s="218">
        <v>56</v>
      </c>
      <c r="AC548" s="219">
        <v>32</v>
      </c>
      <c r="AD548" s="219">
        <v>20</v>
      </c>
      <c r="AE548" s="219">
        <v>11</v>
      </c>
      <c r="AF548" s="219">
        <v>5</v>
      </c>
      <c r="AG548" s="219">
        <v>2</v>
      </c>
      <c r="AH548" s="219">
        <v>0.6</v>
      </c>
      <c r="AI548" s="219">
        <v>0.2</v>
      </c>
      <c r="AJ548" s="219">
        <v>0</v>
      </c>
      <c r="AK548" s="213"/>
      <c r="AL548" s="213"/>
      <c r="AM548" s="213"/>
      <c r="AN548" s="213"/>
      <c r="AO548" s="213"/>
      <c r="AP548" s="213"/>
      <c r="AQ548" s="213"/>
      <c r="AR548" s="213"/>
      <c r="AS548" s="213"/>
      <c r="AT548" s="213"/>
      <c r="AU548" s="213"/>
      <c r="AV548" s="213"/>
      <c r="AW548" s="213"/>
      <c r="AX548" s="213"/>
      <c r="AY548" s="213"/>
      <c r="AZ548" s="213"/>
      <c r="BA548" s="213"/>
      <c r="BB548" s="213"/>
      <c r="BC548" s="213"/>
      <c r="BD548" s="213"/>
      <c r="BE548" s="213"/>
      <c r="BF548" s="213"/>
      <c r="BG548" s="213"/>
      <c r="BH548" s="213"/>
      <c r="BI548" s="213"/>
      <c r="BJ548" s="213"/>
      <c r="BK548" s="213"/>
    </row>
    <row r="549" spans="1:63" s="145" customFormat="1" ht="11.25" hidden="1">
      <c r="A549" s="207" t="s">
        <v>172</v>
      </c>
      <c r="B549" s="208">
        <v>0</v>
      </c>
      <c r="C549" s="208">
        <v>2</v>
      </c>
      <c r="D549" s="208">
        <v>3</v>
      </c>
      <c r="E549" s="208">
        <v>4</v>
      </c>
      <c r="F549" s="208">
        <v>5</v>
      </c>
      <c r="G549" s="208">
        <v>6</v>
      </c>
      <c r="H549" s="208">
        <v>7</v>
      </c>
      <c r="I549" s="208">
        <v>8</v>
      </c>
      <c r="J549" s="208">
        <v>9</v>
      </c>
      <c r="K549" s="208">
        <v>10</v>
      </c>
      <c r="L549" s="208">
        <v>11</v>
      </c>
      <c r="M549" s="208">
        <v>12</v>
      </c>
      <c r="N549" s="208">
        <v>13</v>
      </c>
      <c r="O549" s="208"/>
      <c r="P549" s="208">
        <v>14</v>
      </c>
      <c r="Q549" s="219">
        <v>1</v>
      </c>
      <c r="R549" s="219">
        <v>2</v>
      </c>
      <c r="S549" s="219">
        <v>3</v>
      </c>
      <c r="T549" s="219">
        <v>4</v>
      </c>
      <c r="U549" s="219">
        <v>5</v>
      </c>
      <c r="V549" s="218">
        <v>6</v>
      </c>
      <c r="W549" s="218">
        <v>7</v>
      </c>
      <c r="X549" s="218">
        <v>8</v>
      </c>
      <c r="Y549" s="218">
        <v>9</v>
      </c>
      <c r="Z549" s="219">
        <v>10</v>
      </c>
      <c r="AA549" s="219">
        <v>11</v>
      </c>
      <c r="AB549" s="218">
        <v>12</v>
      </c>
      <c r="AC549" s="219">
        <v>13</v>
      </c>
      <c r="AD549" s="219">
        <v>14</v>
      </c>
      <c r="AE549" s="219">
        <v>15</v>
      </c>
      <c r="AF549" s="213"/>
      <c r="AG549" s="213"/>
      <c r="AH549" s="213"/>
      <c r="AI549" s="213"/>
      <c r="AJ549" s="213"/>
      <c r="AK549" s="213"/>
      <c r="AL549" s="213"/>
      <c r="AM549" s="213"/>
      <c r="AN549" s="213"/>
      <c r="AO549" s="213"/>
      <c r="AP549" s="213"/>
      <c r="AQ549" s="213"/>
      <c r="AR549" s="213"/>
      <c r="AS549" s="213"/>
      <c r="AT549" s="213"/>
      <c r="AU549" s="213"/>
      <c r="AV549" s="213"/>
      <c r="AW549" s="213"/>
      <c r="AX549" s="213"/>
      <c r="AY549" s="213"/>
      <c r="AZ549" s="213"/>
      <c r="BA549" s="213"/>
      <c r="BB549" s="213"/>
      <c r="BC549" s="213"/>
      <c r="BD549" s="213"/>
      <c r="BE549" s="213"/>
      <c r="BF549" s="213"/>
      <c r="BG549" s="213"/>
      <c r="BH549" s="213"/>
      <c r="BI549" s="213"/>
      <c r="BJ549" s="213"/>
      <c r="BK549" s="213"/>
    </row>
    <row r="550" spans="1:63" s="145" customFormat="1" ht="11.25" hidden="1">
      <c r="A550" s="207" t="s">
        <v>164</v>
      </c>
      <c r="B550" s="208">
        <v>100</v>
      </c>
      <c r="C550" s="208">
        <v>99</v>
      </c>
      <c r="D550" s="208">
        <v>95</v>
      </c>
      <c r="E550" s="208">
        <v>83</v>
      </c>
      <c r="F550" s="208">
        <v>64</v>
      </c>
      <c r="G550" s="208">
        <v>45</v>
      </c>
      <c r="H550" s="208">
        <v>28</v>
      </c>
      <c r="I550" s="208">
        <v>16</v>
      </c>
      <c r="J550" s="208">
        <v>9</v>
      </c>
      <c r="K550" s="208">
        <v>5</v>
      </c>
      <c r="L550" s="208">
        <v>2</v>
      </c>
      <c r="M550" s="208">
        <v>0.8</v>
      </c>
      <c r="N550" s="208">
        <v>0.4</v>
      </c>
      <c r="O550" s="208"/>
      <c r="P550" s="208">
        <v>0.2</v>
      </c>
      <c r="Q550" s="219">
        <v>99</v>
      </c>
      <c r="R550" s="219">
        <v>99</v>
      </c>
      <c r="S550" s="219">
        <v>94</v>
      </c>
      <c r="T550" s="219">
        <v>82</v>
      </c>
      <c r="U550" s="219">
        <v>62</v>
      </c>
      <c r="V550" s="218">
        <v>43</v>
      </c>
      <c r="W550" s="218">
        <v>26</v>
      </c>
      <c r="X550" s="218">
        <v>14</v>
      </c>
      <c r="Y550" s="218">
        <v>6.4</v>
      </c>
      <c r="Z550" s="219">
        <v>3</v>
      </c>
      <c r="AA550" s="219">
        <v>1.4</v>
      </c>
      <c r="AB550" s="218">
        <v>0.4</v>
      </c>
      <c r="AC550" s="219">
        <v>0.1</v>
      </c>
      <c r="AD550" s="219">
        <v>0.1</v>
      </c>
      <c r="AE550" s="219">
        <v>0</v>
      </c>
      <c r="AF550" s="213"/>
      <c r="AG550" s="213"/>
      <c r="AH550" s="213"/>
      <c r="AI550" s="213"/>
      <c r="AJ550" s="213"/>
      <c r="AK550" s="213"/>
      <c r="AL550" s="213"/>
      <c r="AM550" s="213"/>
      <c r="AN550" s="213"/>
      <c r="AO550" s="213"/>
      <c r="AP550" s="213"/>
      <c r="AQ550" s="213"/>
      <c r="AR550" s="213"/>
      <c r="AS550" s="213"/>
      <c r="AT550" s="213"/>
      <c r="AU550" s="213"/>
      <c r="AV550" s="213"/>
      <c r="AW550" s="213"/>
      <c r="AX550" s="213"/>
      <c r="AY550" s="213"/>
      <c r="AZ550" s="213"/>
      <c r="BA550" s="213"/>
      <c r="BB550" s="213"/>
      <c r="BC550" s="213"/>
      <c r="BD550" s="213"/>
      <c r="BE550" s="213"/>
      <c r="BF550" s="213"/>
      <c r="BG550" s="213"/>
      <c r="BH550" s="213"/>
      <c r="BI550" s="213"/>
      <c r="BJ550" s="213"/>
      <c r="BK550" s="213"/>
    </row>
    <row r="551" spans="1:63" s="145" customFormat="1" ht="11.25" hidden="1">
      <c r="A551" s="207" t="s">
        <v>173</v>
      </c>
      <c r="B551" s="208">
        <v>0</v>
      </c>
      <c r="C551" s="208">
        <v>2</v>
      </c>
      <c r="D551" s="208">
        <v>3</v>
      </c>
      <c r="E551" s="208">
        <v>4</v>
      </c>
      <c r="F551" s="208">
        <v>5</v>
      </c>
      <c r="G551" s="208">
        <v>6</v>
      </c>
      <c r="H551" s="208">
        <v>7</v>
      </c>
      <c r="I551" s="208">
        <v>8</v>
      </c>
      <c r="J551" s="208">
        <v>9</v>
      </c>
      <c r="K551" s="208">
        <v>10</v>
      </c>
      <c r="L551" s="208">
        <v>11</v>
      </c>
      <c r="M551" s="208">
        <v>12</v>
      </c>
      <c r="N551" s="208">
        <v>13</v>
      </c>
      <c r="O551" s="208"/>
      <c r="P551" s="208">
        <v>14</v>
      </c>
      <c r="Q551" s="219">
        <v>15</v>
      </c>
      <c r="R551" s="213"/>
      <c r="S551" s="219">
        <v>0</v>
      </c>
      <c r="T551" s="219">
        <v>2</v>
      </c>
      <c r="U551" s="219">
        <v>3</v>
      </c>
      <c r="V551" s="218">
        <v>4</v>
      </c>
      <c r="W551" s="218">
        <v>5</v>
      </c>
      <c r="X551" s="218">
        <v>6</v>
      </c>
      <c r="Y551" s="218">
        <v>7</v>
      </c>
      <c r="Z551" s="219">
        <v>8</v>
      </c>
      <c r="AA551" s="219">
        <v>9</v>
      </c>
      <c r="AB551" s="218">
        <v>10</v>
      </c>
      <c r="AC551" s="219">
        <v>11</v>
      </c>
      <c r="AD551" s="219">
        <v>12</v>
      </c>
      <c r="AE551" s="219">
        <v>13</v>
      </c>
      <c r="AF551" s="219">
        <v>14</v>
      </c>
      <c r="AG551" s="219">
        <v>15</v>
      </c>
      <c r="AH551" s="213"/>
      <c r="AI551" s="213"/>
      <c r="AJ551" s="213"/>
      <c r="AK551" s="213"/>
      <c r="AL551" s="213"/>
      <c r="AM551" s="213"/>
      <c r="AN551" s="213"/>
      <c r="AO551" s="213"/>
      <c r="AP551" s="213"/>
      <c r="AQ551" s="213"/>
      <c r="AR551" s="213"/>
      <c r="AS551" s="213"/>
      <c r="AT551" s="213"/>
      <c r="AU551" s="213"/>
      <c r="AV551" s="213"/>
      <c r="AW551" s="213"/>
      <c r="AX551" s="213"/>
      <c r="AY551" s="213"/>
      <c r="AZ551" s="213"/>
      <c r="BA551" s="213"/>
      <c r="BB551" s="213"/>
      <c r="BC551" s="213"/>
      <c r="BD551" s="213"/>
      <c r="BE551" s="213"/>
      <c r="BF551" s="213"/>
      <c r="BG551" s="213"/>
      <c r="BH551" s="213"/>
      <c r="BI551" s="213"/>
      <c r="BJ551" s="213"/>
      <c r="BK551" s="213"/>
    </row>
    <row r="552" spans="1:63" s="145" customFormat="1" ht="11.25" hidden="1">
      <c r="A552" s="207" t="s">
        <v>164</v>
      </c>
      <c r="B552" s="208">
        <v>100</v>
      </c>
      <c r="C552" s="208">
        <v>99</v>
      </c>
      <c r="D552" s="208">
        <v>97</v>
      </c>
      <c r="E552" s="208">
        <v>90</v>
      </c>
      <c r="F552" s="208">
        <v>78</v>
      </c>
      <c r="G552" s="208">
        <v>62</v>
      </c>
      <c r="H552" s="208">
        <v>46</v>
      </c>
      <c r="I552" s="208">
        <v>30</v>
      </c>
      <c r="J552" s="208">
        <v>19</v>
      </c>
      <c r="K552" s="208">
        <v>11</v>
      </c>
      <c r="L552" s="208">
        <v>5</v>
      </c>
      <c r="M552" s="208">
        <v>3</v>
      </c>
      <c r="N552" s="208">
        <v>0.8</v>
      </c>
      <c r="O552" s="208"/>
      <c r="P552" s="208">
        <v>0.4</v>
      </c>
      <c r="Q552" s="219">
        <v>0.2</v>
      </c>
      <c r="R552" s="213"/>
      <c r="S552" s="219">
        <v>100</v>
      </c>
      <c r="T552" s="219">
        <v>99</v>
      </c>
      <c r="U552" s="219">
        <v>97</v>
      </c>
      <c r="V552" s="218">
        <v>88</v>
      </c>
      <c r="W552" s="218">
        <v>75</v>
      </c>
      <c r="X552" s="218">
        <v>57</v>
      </c>
      <c r="Y552" s="218">
        <v>40</v>
      </c>
      <c r="Z552" s="219">
        <v>26</v>
      </c>
      <c r="AA552" s="219">
        <v>14.6</v>
      </c>
      <c r="AB552" s="218">
        <v>8</v>
      </c>
      <c r="AC552" s="219">
        <v>4</v>
      </c>
      <c r="AD552" s="219">
        <v>2</v>
      </c>
      <c r="AE552" s="219">
        <v>0.8</v>
      </c>
      <c r="AF552" s="219">
        <v>0.4</v>
      </c>
      <c r="AG552" s="219">
        <v>0.1</v>
      </c>
      <c r="AH552" s="213"/>
      <c r="AI552" s="213"/>
      <c r="AJ552" s="213"/>
      <c r="AK552" s="213"/>
      <c r="AL552" s="213"/>
      <c r="AM552" s="213"/>
      <c r="AN552" s="213"/>
      <c r="AO552" s="213"/>
      <c r="AP552" s="213"/>
      <c r="AQ552" s="213"/>
      <c r="AR552" s="213"/>
      <c r="AS552" s="213"/>
      <c r="AT552" s="213"/>
      <c r="AU552" s="213"/>
      <c r="AV552" s="213"/>
      <c r="AW552" s="213"/>
      <c r="AX552" s="213"/>
      <c r="AY552" s="213"/>
      <c r="AZ552" s="213"/>
      <c r="BA552" s="213"/>
      <c r="BB552" s="213"/>
      <c r="BC552" s="213"/>
      <c r="BD552" s="213"/>
      <c r="BE552" s="213"/>
      <c r="BF552" s="213"/>
      <c r="BG552" s="213"/>
      <c r="BH552" s="213"/>
      <c r="BI552" s="213"/>
      <c r="BJ552" s="213"/>
      <c r="BK552" s="213"/>
    </row>
    <row r="553" spans="1:63" s="145" customFormat="1" ht="11.25" hidden="1">
      <c r="A553" s="144"/>
      <c r="Q553" s="213"/>
      <c r="R553" s="213"/>
      <c r="S553" s="213"/>
      <c r="T553" s="213"/>
      <c r="U553" s="213"/>
      <c r="V553" s="218"/>
      <c r="W553" s="218"/>
      <c r="X553" s="218"/>
      <c r="Y553" s="218"/>
      <c r="Z553" s="213"/>
      <c r="AA553" s="213"/>
      <c r="AB553" s="218"/>
      <c r="AC553" s="213"/>
      <c r="AD553" s="213"/>
      <c r="AE553" s="213"/>
      <c r="AF553" s="213"/>
      <c r="AG553" s="213"/>
      <c r="AH553" s="213"/>
      <c r="AI553" s="213"/>
      <c r="AJ553" s="213"/>
      <c r="AK553" s="213"/>
      <c r="AL553" s="213"/>
      <c r="AM553" s="213"/>
      <c r="AN553" s="213"/>
      <c r="AO553" s="213"/>
      <c r="AP553" s="213"/>
      <c r="AQ553" s="213"/>
      <c r="AR553" s="213"/>
      <c r="AS553" s="213"/>
      <c r="AT553" s="213"/>
      <c r="AU553" s="213"/>
      <c r="AV553" s="213"/>
      <c r="AW553" s="213"/>
      <c r="AX553" s="213"/>
      <c r="AY553" s="213"/>
      <c r="AZ553" s="213"/>
      <c r="BA553" s="213"/>
      <c r="BB553" s="213"/>
      <c r="BC553" s="213"/>
      <c r="BD553" s="213"/>
      <c r="BE553" s="213"/>
      <c r="BF553" s="213"/>
      <c r="BG553" s="213"/>
      <c r="BH553" s="213"/>
      <c r="BI553" s="213"/>
      <c r="BJ553" s="213"/>
      <c r="BK553" s="213"/>
    </row>
    <row r="554" spans="1:63" s="145" customFormat="1" ht="11.25" hidden="1">
      <c r="A554" s="144"/>
      <c r="B554" s="145">
        <v>1</v>
      </c>
      <c r="C554" s="145">
        <v>70</v>
      </c>
      <c r="D554" s="145">
        <v>80</v>
      </c>
      <c r="E554" s="145">
        <v>90</v>
      </c>
      <c r="F554" s="145">
        <v>110</v>
      </c>
      <c r="G554" s="145">
        <v>120</v>
      </c>
      <c r="H554" s="145">
        <v>130</v>
      </c>
      <c r="Q554" s="213"/>
      <c r="R554" s="213"/>
      <c r="S554" s="213"/>
      <c r="T554" s="213"/>
      <c r="U554" s="213"/>
      <c r="V554" s="218"/>
      <c r="W554" s="218"/>
      <c r="X554" s="218"/>
      <c r="Y554" s="218"/>
      <c r="Z554" s="213"/>
      <c r="AA554" s="213"/>
      <c r="AB554" s="218"/>
      <c r="AC554" s="213"/>
      <c r="AD554" s="213"/>
      <c r="AE554" s="213"/>
      <c r="AF554" s="213"/>
      <c r="AG554" s="213"/>
      <c r="AH554" s="213"/>
      <c r="AI554" s="213"/>
      <c r="AJ554" s="213"/>
      <c r="AK554" s="213"/>
      <c r="AL554" s="213"/>
      <c r="AM554" s="213"/>
      <c r="AN554" s="213"/>
      <c r="AO554" s="213"/>
      <c r="AP554" s="213"/>
      <c r="AQ554" s="213"/>
      <c r="AR554" s="213"/>
      <c r="AS554" s="213"/>
      <c r="AT554" s="213"/>
      <c r="AU554" s="213"/>
      <c r="AV554" s="213"/>
      <c r="AW554" s="213"/>
      <c r="AX554" s="213"/>
      <c r="AY554" s="213"/>
      <c r="AZ554" s="213"/>
      <c r="BA554" s="213"/>
      <c r="BB554" s="213"/>
      <c r="BC554" s="213"/>
      <c r="BD554" s="213"/>
      <c r="BE554" s="213"/>
      <c r="BF554" s="213"/>
      <c r="BG554" s="213"/>
      <c r="BH554" s="213"/>
      <c r="BI554" s="213"/>
      <c r="BJ554" s="213"/>
      <c r="BK554" s="213"/>
    </row>
    <row r="555" spans="1:63" s="145" customFormat="1" ht="11.25" hidden="1">
      <c r="A555" s="144"/>
      <c r="B555" s="145" t="s">
        <v>174</v>
      </c>
      <c r="C555" s="145" t="s">
        <v>175</v>
      </c>
      <c r="D555" s="145" t="s">
        <v>176</v>
      </c>
      <c r="E555" s="145" t="s">
        <v>177</v>
      </c>
      <c r="F555" s="145" t="s">
        <v>178</v>
      </c>
      <c r="G555" s="145" t="s">
        <v>179</v>
      </c>
      <c r="H555" s="145" t="s">
        <v>180</v>
      </c>
      <c r="Q555" s="213"/>
      <c r="R555" s="213"/>
      <c r="S555" s="213"/>
      <c r="T555" s="213"/>
      <c r="U555" s="213"/>
      <c r="V555" s="218"/>
      <c r="W555" s="218"/>
      <c r="X555" s="218"/>
      <c r="Y555" s="218"/>
      <c r="Z555" s="213"/>
      <c r="AA555" s="213"/>
      <c r="AB555" s="218"/>
      <c r="AC555" s="213"/>
      <c r="AD555" s="213"/>
      <c r="AE555" s="213"/>
      <c r="AF555" s="213"/>
      <c r="AG555" s="213"/>
      <c r="AH555" s="213"/>
      <c r="AI555" s="213"/>
      <c r="AJ555" s="213"/>
      <c r="AK555" s="213"/>
      <c r="AL555" s="213"/>
      <c r="AM555" s="213"/>
      <c r="AN555" s="213"/>
      <c r="AO555" s="213"/>
      <c r="AP555" s="213"/>
      <c r="AQ555" s="213"/>
      <c r="AR555" s="213"/>
      <c r="AS555" s="213"/>
      <c r="AT555" s="213"/>
      <c r="AU555" s="213"/>
      <c r="AV555" s="213"/>
      <c r="AW555" s="213"/>
      <c r="AX555" s="213"/>
      <c r="AY555" s="213"/>
      <c r="AZ555" s="213"/>
      <c r="BA555" s="213"/>
      <c r="BB555" s="213"/>
      <c r="BC555" s="213"/>
      <c r="BD555" s="213"/>
      <c r="BE555" s="213"/>
      <c r="BF555" s="213"/>
      <c r="BG555" s="213"/>
      <c r="BH555" s="213"/>
      <c r="BI555" s="213"/>
      <c r="BJ555" s="213"/>
      <c r="BK555" s="213"/>
    </row>
    <row r="556" spans="1:63" s="144" customFormat="1" ht="11.25" hidden="1">
      <c r="A556" s="144" t="s">
        <v>181</v>
      </c>
      <c r="B556" s="144">
        <v>46</v>
      </c>
      <c r="C556" s="144">
        <v>55</v>
      </c>
      <c r="D556" s="144">
        <v>66</v>
      </c>
      <c r="E556" s="144">
        <v>75</v>
      </c>
      <c r="F556" s="144">
        <v>87</v>
      </c>
      <c r="G556" s="144">
        <v>95</v>
      </c>
      <c r="H556" s="144">
        <v>106</v>
      </c>
      <c r="I556" s="144">
        <v>115</v>
      </c>
      <c r="J556" s="144">
        <v>126</v>
      </c>
      <c r="K556" s="144">
        <v>135</v>
      </c>
      <c r="L556" s="144">
        <v>146</v>
      </c>
      <c r="M556" s="144">
        <v>155</v>
      </c>
      <c r="N556" s="145"/>
      <c r="O556" s="145"/>
      <c r="Q556" s="211"/>
      <c r="R556" s="211"/>
      <c r="S556" s="211"/>
      <c r="T556" s="211"/>
      <c r="U556" s="211"/>
      <c r="V556" s="212"/>
      <c r="W556" s="212"/>
      <c r="X556" s="212"/>
      <c r="Y556" s="212"/>
      <c r="Z556" s="211"/>
      <c r="AA556" s="211"/>
      <c r="AB556" s="212"/>
      <c r="AC556" s="211"/>
      <c r="AD556" s="211"/>
      <c r="AE556" s="211"/>
      <c r="AF556" s="211"/>
      <c r="AG556" s="211"/>
      <c r="AH556" s="211"/>
      <c r="AI556" s="211"/>
      <c r="AJ556" s="211"/>
      <c r="AK556" s="211"/>
      <c r="AL556" s="211"/>
      <c r="AM556" s="211"/>
      <c r="AN556" s="211"/>
      <c r="AO556" s="211"/>
      <c r="AP556" s="211"/>
      <c r="AQ556" s="211"/>
      <c r="AR556" s="211"/>
      <c r="AS556" s="211"/>
      <c r="AT556" s="211"/>
      <c r="AU556" s="211"/>
      <c r="AV556" s="211"/>
      <c r="AW556" s="211"/>
      <c r="AX556" s="211"/>
      <c r="AY556" s="211"/>
      <c r="AZ556" s="211"/>
      <c r="BA556" s="211"/>
      <c r="BB556" s="211"/>
      <c r="BC556" s="211"/>
      <c r="BD556" s="211"/>
      <c r="BE556" s="211"/>
      <c r="BF556" s="211"/>
      <c r="BG556" s="211"/>
      <c r="BH556" s="211"/>
      <c r="BI556" s="211"/>
      <c r="BJ556" s="211"/>
      <c r="BK556" s="211"/>
    </row>
    <row r="557" spans="1:63" s="144" customFormat="1" ht="11.25" hidden="1">
      <c r="A557" s="144" t="s">
        <v>182</v>
      </c>
      <c r="B557" s="144">
        <v>-4</v>
      </c>
      <c r="C557" s="144">
        <v>-4</v>
      </c>
      <c r="D557" s="144">
        <v>-5</v>
      </c>
      <c r="E557" s="144">
        <v>-5</v>
      </c>
      <c r="F557" s="144">
        <v>-6</v>
      </c>
      <c r="G557" s="144">
        <v>-6</v>
      </c>
      <c r="H557" s="144">
        <v>-7</v>
      </c>
      <c r="I557" s="144">
        <v>-7</v>
      </c>
      <c r="J557" s="144">
        <v>-8</v>
      </c>
      <c r="K557" s="144">
        <v>-8</v>
      </c>
      <c r="L557" s="144">
        <v>-9</v>
      </c>
      <c r="M557" s="144">
        <v>-9</v>
      </c>
      <c r="Q557" s="211"/>
      <c r="R557" s="211"/>
      <c r="S557" s="211"/>
      <c r="T557" s="211"/>
      <c r="U557" s="211"/>
      <c r="V557" s="212"/>
      <c r="W557" s="212"/>
      <c r="X557" s="212"/>
      <c r="Y557" s="212"/>
      <c r="Z557" s="211"/>
      <c r="AA557" s="211"/>
      <c r="AB557" s="212"/>
      <c r="AC557" s="211"/>
      <c r="AD557" s="211"/>
      <c r="AE557" s="211"/>
      <c r="AF557" s="211"/>
      <c r="AG557" s="211"/>
      <c r="AH557" s="211"/>
      <c r="AI557" s="211"/>
      <c r="AJ557" s="211"/>
      <c r="AK557" s="211"/>
      <c r="AL557" s="211"/>
      <c r="AM557" s="211"/>
      <c r="AN557" s="211"/>
      <c r="AO557" s="211"/>
      <c r="AP557" s="211"/>
      <c r="AQ557" s="211"/>
      <c r="AR557" s="211"/>
      <c r="AS557" s="211"/>
      <c r="AT557" s="211"/>
      <c r="AU557" s="211"/>
      <c r="AV557" s="211"/>
      <c r="AW557" s="211"/>
      <c r="AX557" s="211"/>
      <c r="AY557" s="211"/>
      <c r="AZ557" s="211"/>
      <c r="BA557" s="211"/>
      <c r="BB557" s="211"/>
      <c r="BC557" s="211"/>
      <c r="BD557" s="211"/>
      <c r="BE557" s="211"/>
      <c r="BF557" s="211"/>
      <c r="BG557" s="211"/>
      <c r="BH557" s="211"/>
      <c r="BI557" s="211"/>
      <c r="BJ557" s="211"/>
      <c r="BK557" s="211"/>
    </row>
    <row r="558" spans="1:63" s="144" customFormat="1" ht="11.25" hidden="1">
      <c r="A558" s="144" t="s">
        <v>183</v>
      </c>
      <c r="B558" s="144">
        <v>9</v>
      </c>
      <c r="C558" s="144">
        <v>8</v>
      </c>
      <c r="D558" s="144">
        <v>8</v>
      </c>
      <c r="E558" s="144">
        <v>7</v>
      </c>
      <c r="F558" s="144">
        <v>7</v>
      </c>
      <c r="G558" s="144">
        <v>6</v>
      </c>
      <c r="H558" s="144">
        <v>6</v>
      </c>
      <c r="I558" s="144">
        <v>5</v>
      </c>
      <c r="J558" s="144">
        <v>5</v>
      </c>
      <c r="K558" s="144">
        <v>4</v>
      </c>
      <c r="L558" s="144">
        <v>4</v>
      </c>
      <c r="M558" s="144">
        <v>3</v>
      </c>
      <c r="Q558" s="211"/>
      <c r="R558" s="211"/>
      <c r="S558" s="211"/>
      <c r="T558" s="211"/>
      <c r="U558" s="211"/>
      <c r="V558" s="212"/>
      <c r="W558" s="212"/>
      <c r="X558" s="212"/>
      <c r="Y558" s="212"/>
      <c r="Z558" s="211"/>
      <c r="AA558" s="211"/>
      <c r="AB558" s="212"/>
      <c r="AC558" s="211"/>
      <c r="AD558" s="211"/>
      <c r="AE558" s="211"/>
      <c r="AF558" s="211"/>
      <c r="AG558" s="211"/>
      <c r="AH558" s="211"/>
      <c r="AI558" s="211"/>
      <c r="AJ558" s="211"/>
      <c r="AK558" s="211"/>
      <c r="AL558" s="211"/>
      <c r="AM558" s="211"/>
      <c r="AN558" s="211"/>
      <c r="AO558" s="211"/>
      <c r="AP558" s="211"/>
      <c r="AQ558" s="211"/>
      <c r="AR558" s="211"/>
      <c r="AS558" s="211"/>
      <c r="AT558" s="211"/>
      <c r="AU558" s="211"/>
      <c r="AV558" s="211"/>
      <c r="AW558" s="211"/>
      <c r="AX558" s="211"/>
      <c r="AY558" s="211"/>
      <c r="AZ558" s="211"/>
      <c r="BA558" s="211"/>
      <c r="BB558" s="211"/>
      <c r="BC558" s="211"/>
      <c r="BD558" s="211"/>
      <c r="BE558" s="211"/>
      <c r="BF558" s="211"/>
      <c r="BG558" s="211"/>
      <c r="BH558" s="211"/>
      <c r="BI558" s="211"/>
      <c r="BJ558" s="211"/>
      <c r="BK558" s="211"/>
    </row>
    <row r="559" spans="1:63" s="144" customFormat="1" ht="11.25" hidden="1">
      <c r="A559" s="144" t="s">
        <v>184</v>
      </c>
      <c r="B559" s="144">
        <v>46</v>
      </c>
      <c r="C559" s="144">
        <v>50</v>
      </c>
      <c r="D559" s="144">
        <v>52</v>
      </c>
      <c r="E559" s="144">
        <v>62</v>
      </c>
      <c r="F559" s="144">
        <v>72</v>
      </c>
      <c r="G559" s="144">
        <v>73</v>
      </c>
      <c r="H559" s="144">
        <v>84</v>
      </c>
      <c r="I559" s="144">
        <v>95</v>
      </c>
      <c r="J559" s="144">
        <v>106</v>
      </c>
      <c r="K559" s="144">
        <v>117</v>
      </c>
      <c r="L559" s="144">
        <v>129</v>
      </c>
      <c r="M559" s="144">
        <v>139</v>
      </c>
      <c r="N559" s="144">
        <v>140</v>
      </c>
      <c r="O559" s="144">
        <v>150</v>
      </c>
      <c r="P559" s="144">
        <v>150</v>
      </c>
      <c r="Q559" s="211">
        <v>151</v>
      </c>
      <c r="R559" s="211"/>
      <c r="S559" s="211"/>
      <c r="T559" s="211"/>
      <c r="U559" s="212"/>
      <c r="V559" s="212"/>
      <c r="W559" s="212"/>
      <c r="X559" s="212"/>
      <c r="Y559" s="211"/>
      <c r="Z559" s="211"/>
      <c r="AA559" s="212"/>
      <c r="AB559" s="211"/>
      <c r="AC559" s="211"/>
      <c r="AD559" s="211"/>
      <c r="AE559" s="211"/>
      <c r="AF559" s="211"/>
      <c r="AG559" s="211"/>
      <c r="AH559" s="211"/>
      <c r="AI559" s="211"/>
      <c r="AJ559" s="211"/>
      <c r="AK559" s="211"/>
      <c r="AL559" s="211"/>
      <c r="AM559" s="211"/>
      <c r="AN559" s="211"/>
      <c r="AO559" s="211"/>
      <c r="AP559" s="211"/>
      <c r="AQ559" s="211"/>
      <c r="AR559" s="211"/>
      <c r="AS559" s="211"/>
      <c r="AT559" s="211"/>
      <c r="AU559" s="211"/>
      <c r="AV559" s="211"/>
      <c r="AW559" s="211"/>
      <c r="AX559" s="211"/>
      <c r="AY559" s="211"/>
      <c r="AZ559" s="211"/>
      <c r="BA559" s="211"/>
      <c r="BB559" s="211"/>
      <c r="BC559" s="211"/>
      <c r="BD559" s="211"/>
      <c r="BE559" s="211"/>
      <c r="BF559" s="211"/>
      <c r="BG559" s="211"/>
      <c r="BH559" s="211"/>
      <c r="BI559" s="211"/>
      <c r="BJ559" s="211"/>
      <c r="BK559" s="211"/>
    </row>
    <row r="560" spans="1:63" s="144" customFormat="1" ht="11.25" hidden="1">
      <c r="A560" s="144" t="s">
        <v>185</v>
      </c>
      <c r="B560" s="144">
        <v>-3</v>
      </c>
      <c r="C560" s="144">
        <v>-4</v>
      </c>
      <c r="D560" s="144">
        <v>-4</v>
      </c>
      <c r="E560" s="144">
        <v>-5</v>
      </c>
      <c r="F560" s="144">
        <v>-6</v>
      </c>
      <c r="G560" s="144">
        <v>-6</v>
      </c>
      <c r="H560" s="144">
        <v>-7</v>
      </c>
      <c r="I560" s="144">
        <v>-8</v>
      </c>
      <c r="J560" s="144">
        <v>-9</v>
      </c>
      <c r="K560" s="144">
        <v>-10</v>
      </c>
      <c r="L560" s="144">
        <v>-11</v>
      </c>
      <c r="M560" s="144">
        <v>-12</v>
      </c>
      <c r="N560" s="144">
        <v>-12</v>
      </c>
      <c r="O560" s="144">
        <v>-13</v>
      </c>
      <c r="P560" s="144">
        <v>-13</v>
      </c>
      <c r="Q560" s="211">
        <v>-13</v>
      </c>
      <c r="R560" s="211"/>
      <c r="S560" s="211"/>
      <c r="T560" s="211"/>
      <c r="U560" s="212"/>
      <c r="V560" s="212"/>
      <c r="W560" s="212"/>
      <c r="X560" s="212"/>
      <c r="Y560" s="211"/>
      <c r="Z560" s="211"/>
      <c r="AA560" s="212"/>
      <c r="AB560" s="211"/>
      <c r="AC560" s="211"/>
      <c r="AD560" s="211"/>
      <c r="AE560" s="211"/>
      <c r="AF560" s="211"/>
      <c r="AG560" s="211"/>
      <c r="AH560" s="211"/>
      <c r="AI560" s="211"/>
      <c r="AJ560" s="211"/>
      <c r="AK560" s="211"/>
      <c r="AL560" s="211"/>
      <c r="AM560" s="211"/>
      <c r="AN560" s="211"/>
      <c r="AO560" s="211"/>
      <c r="AP560" s="211"/>
      <c r="AQ560" s="211"/>
      <c r="AR560" s="211"/>
      <c r="AS560" s="211"/>
      <c r="AT560" s="211"/>
      <c r="AU560" s="211"/>
      <c r="AV560" s="211"/>
      <c r="AW560" s="211"/>
      <c r="AX560" s="211"/>
      <c r="AY560" s="211"/>
      <c r="AZ560" s="211"/>
      <c r="BA560" s="211"/>
      <c r="BB560" s="211"/>
      <c r="BC560" s="211"/>
      <c r="BD560" s="211"/>
      <c r="BE560" s="211"/>
      <c r="BF560" s="211"/>
      <c r="BG560" s="211"/>
      <c r="BH560" s="211"/>
      <c r="BI560" s="211"/>
      <c r="BJ560" s="211"/>
      <c r="BK560" s="211"/>
    </row>
    <row r="561" spans="1:63" s="144" customFormat="1" ht="11.25" hidden="1">
      <c r="A561" s="144" t="s">
        <v>186</v>
      </c>
      <c r="B561" s="144">
        <v>13</v>
      </c>
      <c r="C561" s="144">
        <v>13</v>
      </c>
      <c r="D561" s="144">
        <v>12</v>
      </c>
      <c r="E561" s="144">
        <v>11</v>
      </c>
      <c r="F561" s="144">
        <v>11</v>
      </c>
      <c r="G561" s="144">
        <v>10</v>
      </c>
      <c r="H561" s="144">
        <v>9</v>
      </c>
      <c r="I561" s="144">
        <v>8</v>
      </c>
      <c r="J561" s="144">
        <v>7</v>
      </c>
      <c r="K561" s="144">
        <v>6</v>
      </c>
      <c r="L561" s="144">
        <v>5</v>
      </c>
      <c r="M561" s="144">
        <v>5</v>
      </c>
      <c r="N561" s="144">
        <v>4</v>
      </c>
      <c r="O561" s="144">
        <v>4</v>
      </c>
      <c r="P561" s="144">
        <v>4</v>
      </c>
      <c r="Q561" s="211">
        <v>3</v>
      </c>
      <c r="R561" s="211"/>
      <c r="S561" s="211"/>
      <c r="T561" s="211"/>
      <c r="U561" s="212"/>
      <c r="V561" s="212"/>
      <c r="W561" s="212"/>
      <c r="X561" s="212"/>
      <c r="Y561" s="211"/>
      <c r="Z561" s="211"/>
      <c r="AA561" s="212"/>
      <c r="AB561" s="211"/>
      <c r="AC561" s="211"/>
      <c r="AD561" s="211"/>
      <c r="AE561" s="211"/>
      <c r="AF561" s="211"/>
      <c r="AG561" s="211"/>
      <c r="AH561" s="211"/>
      <c r="AI561" s="211"/>
      <c r="AJ561" s="211"/>
      <c r="AK561" s="211"/>
      <c r="AL561" s="211"/>
      <c r="AM561" s="211"/>
      <c r="AN561" s="211"/>
      <c r="AO561" s="211"/>
      <c r="AP561" s="211"/>
      <c r="AQ561" s="211"/>
      <c r="AR561" s="211"/>
      <c r="AS561" s="211"/>
      <c r="AT561" s="211"/>
      <c r="AU561" s="211"/>
      <c r="AV561" s="211"/>
      <c r="AW561" s="211"/>
      <c r="AX561" s="211"/>
      <c r="AY561" s="211"/>
      <c r="AZ561" s="211"/>
      <c r="BA561" s="211"/>
      <c r="BB561" s="211"/>
      <c r="BC561" s="211"/>
      <c r="BD561" s="211"/>
      <c r="BE561" s="211"/>
      <c r="BF561" s="211"/>
      <c r="BG561" s="211"/>
      <c r="BH561" s="211"/>
      <c r="BI561" s="211"/>
      <c r="BJ561" s="211"/>
      <c r="BK561" s="211"/>
    </row>
    <row r="562" spans="1:63" s="144" customFormat="1" ht="11.25" hidden="1">
      <c r="A562" s="144" t="s">
        <v>187</v>
      </c>
      <c r="B562" s="144">
        <v>40</v>
      </c>
      <c r="C562" s="144">
        <v>47</v>
      </c>
      <c r="D562" s="144">
        <v>54</v>
      </c>
      <c r="E562" s="144">
        <v>72</v>
      </c>
      <c r="F562" s="144">
        <v>79</v>
      </c>
      <c r="G562" s="144">
        <v>97</v>
      </c>
      <c r="H562" s="144">
        <v>104</v>
      </c>
      <c r="I562" s="144">
        <v>122</v>
      </c>
      <c r="J562" s="144">
        <v>129</v>
      </c>
      <c r="K562" s="144">
        <v>147</v>
      </c>
      <c r="L562" s="144">
        <v>154</v>
      </c>
      <c r="Q562" s="211"/>
      <c r="R562" s="211"/>
      <c r="S562" s="211"/>
      <c r="T562" s="211"/>
      <c r="U562" s="212"/>
      <c r="V562" s="212"/>
      <c r="W562" s="212"/>
      <c r="X562" s="212"/>
      <c r="Y562" s="211"/>
      <c r="Z562" s="211"/>
      <c r="AA562" s="212"/>
      <c r="AB562" s="211"/>
      <c r="AC562" s="211"/>
      <c r="AD562" s="211"/>
      <c r="AE562" s="211"/>
      <c r="AF562" s="211"/>
      <c r="AG562" s="211"/>
      <c r="AH562" s="211"/>
      <c r="AI562" s="211"/>
      <c r="AJ562" s="211"/>
      <c r="AK562" s="211"/>
      <c r="AL562" s="211"/>
      <c r="AM562" s="211"/>
      <c r="AN562" s="211"/>
      <c r="AO562" s="211"/>
      <c r="AP562" s="211"/>
      <c r="AQ562" s="211"/>
      <c r="AR562" s="211"/>
      <c r="AS562" s="211"/>
      <c r="AT562" s="211"/>
      <c r="AU562" s="211"/>
      <c r="AV562" s="211"/>
      <c r="AW562" s="211"/>
      <c r="AX562" s="211"/>
      <c r="AY562" s="211"/>
      <c r="AZ562" s="211"/>
      <c r="BA562" s="211"/>
      <c r="BB562" s="211"/>
      <c r="BC562" s="211"/>
      <c r="BD562" s="211"/>
      <c r="BE562" s="211"/>
      <c r="BF562" s="211"/>
      <c r="BG562" s="211"/>
      <c r="BH562" s="211"/>
      <c r="BI562" s="211"/>
      <c r="BJ562" s="211"/>
      <c r="BK562" s="211"/>
    </row>
    <row r="563" spans="1:63" s="144" customFormat="1" ht="11.25" hidden="1">
      <c r="A563" s="144" t="s">
        <v>188</v>
      </c>
      <c r="B563" s="144">
        <v>-3</v>
      </c>
      <c r="C563" s="144">
        <v>-4</v>
      </c>
      <c r="D563" s="144">
        <v>-4</v>
      </c>
      <c r="E563" s="144">
        <v>-5</v>
      </c>
      <c r="F563" s="144">
        <v>-5</v>
      </c>
      <c r="G563" s="144">
        <v>-6</v>
      </c>
      <c r="H563" s="144">
        <v>-6</v>
      </c>
      <c r="I563" s="144">
        <v>-7</v>
      </c>
      <c r="J563" s="144">
        <v>-7</v>
      </c>
      <c r="K563" s="144">
        <v>-8</v>
      </c>
      <c r="L563" s="144">
        <v>-8</v>
      </c>
      <c r="Q563" s="211"/>
      <c r="R563" s="211"/>
      <c r="S563" s="211"/>
      <c r="T563" s="211"/>
      <c r="U563" s="212"/>
      <c r="V563" s="212"/>
      <c r="W563" s="212"/>
      <c r="X563" s="212"/>
      <c r="Y563" s="211"/>
      <c r="Z563" s="211"/>
      <c r="AA563" s="212"/>
      <c r="AB563" s="211"/>
      <c r="AC563" s="211"/>
      <c r="AD563" s="211"/>
      <c r="AE563" s="211"/>
      <c r="AF563" s="211"/>
      <c r="AG563" s="211"/>
      <c r="AH563" s="211"/>
      <c r="AI563" s="211"/>
      <c r="AJ563" s="211"/>
      <c r="AK563" s="211"/>
      <c r="AL563" s="211"/>
      <c r="AM563" s="211"/>
      <c r="AN563" s="211"/>
      <c r="AO563" s="211"/>
      <c r="AP563" s="211"/>
      <c r="AQ563" s="211"/>
      <c r="AR563" s="211"/>
      <c r="AS563" s="211"/>
      <c r="AT563" s="211"/>
      <c r="AU563" s="211"/>
      <c r="AV563" s="211"/>
      <c r="AW563" s="211"/>
      <c r="AX563" s="211"/>
      <c r="AY563" s="211"/>
      <c r="AZ563" s="211"/>
      <c r="BA563" s="211"/>
      <c r="BB563" s="211"/>
      <c r="BC563" s="211"/>
      <c r="BD563" s="211"/>
      <c r="BE563" s="211"/>
      <c r="BF563" s="211"/>
      <c r="BG563" s="211"/>
      <c r="BH563" s="211"/>
      <c r="BI563" s="211"/>
      <c r="BJ563" s="211"/>
      <c r="BK563" s="211"/>
    </row>
    <row r="564" spans="1:63" s="144" customFormat="1" ht="11.25" hidden="1">
      <c r="A564" s="144" t="s">
        <v>189</v>
      </c>
      <c r="B564" s="144">
        <v>8</v>
      </c>
      <c r="C564" s="144">
        <v>8</v>
      </c>
      <c r="D564" s="144">
        <v>7</v>
      </c>
      <c r="E564" s="144">
        <v>7</v>
      </c>
      <c r="F564" s="144">
        <v>6</v>
      </c>
      <c r="G564" s="144">
        <v>6</v>
      </c>
      <c r="H564" s="144">
        <v>5</v>
      </c>
      <c r="I564" s="144">
        <v>5</v>
      </c>
      <c r="J564" s="144">
        <v>4</v>
      </c>
      <c r="K564" s="144">
        <v>4</v>
      </c>
      <c r="L564" s="144">
        <v>3</v>
      </c>
      <c r="Q564" s="211"/>
      <c r="R564" s="211"/>
      <c r="S564" s="211"/>
      <c r="T564" s="211"/>
      <c r="U564" s="212"/>
      <c r="V564" s="212"/>
      <c r="W564" s="212"/>
      <c r="X564" s="212"/>
      <c r="Y564" s="211"/>
      <c r="Z564" s="211"/>
      <c r="AA564" s="212"/>
      <c r="AB564" s="211"/>
      <c r="AC564" s="211"/>
      <c r="AD564" s="211"/>
      <c r="AE564" s="211"/>
      <c r="AF564" s="211"/>
      <c r="AG564" s="211"/>
      <c r="AH564" s="211"/>
      <c r="AI564" s="211"/>
      <c r="AJ564" s="211"/>
      <c r="AK564" s="211"/>
      <c r="AL564" s="211"/>
      <c r="AM564" s="211"/>
      <c r="AN564" s="211"/>
      <c r="AO564" s="211"/>
      <c r="AP564" s="211"/>
      <c r="AQ564" s="211"/>
      <c r="AR564" s="211"/>
      <c r="AS564" s="211"/>
      <c r="AT564" s="211"/>
      <c r="AU564" s="211"/>
      <c r="AV564" s="211"/>
      <c r="AW564" s="211"/>
      <c r="AX564" s="211"/>
      <c r="AY564" s="211"/>
      <c r="AZ564" s="211"/>
      <c r="BA564" s="211"/>
      <c r="BB564" s="211"/>
      <c r="BC564" s="211"/>
      <c r="BD564" s="211"/>
      <c r="BE564" s="211"/>
      <c r="BF564" s="211"/>
      <c r="BG564" s="211"/>
      <c r="BH564" s="211"/>
      <c r="BI564" s="211"/>
      <c r="BJ564" s="211"/>
      <c r="BK564" s="211"/>
    </row>
    <row r="565" spans="1:63" s="144" customFormat="1" ht="11.25" hidden="1">
      <c r="A565" s="144" t="s">
        <v>190</v>
      </c>
      <c r="B565" s="144">
        <v>50</v>
      </c>
      <c r="C565" s="144">
        <v>56</v>
      </c>
      <c r="D565" s="144">
        <v>63</v>
      </c>
      <c r="E565" s="144">
        <v>72</v>
      </c>
      <c r="F565" s="144">
        <v>79</v>
      </c>
      <c r="G565" s="144">
        <v>88</v>
      </c>
      <c r="H565" s="144">
        <v>96</v>
      </c>
      <c r="I565" s="144">
        <v>106</v>
      </c>
      <c r="J565" s="144">
        <v>113</v>
      </c>
      <c r="K565" s="144">
        <v>122</v>
      </c>
      <c r="L565" s="144">
        <v>130</v>
      </c>
      <c r="M565" s="144">
        <v>139</v>
      </c>
      <c r="N565" s="144">
        <v>146</v>
      </c>
      <c r="Q565" s="211"/>
      <c r="R565" s="211"/>
      <c r="S565" s="211"/>
      <c r="T565" s="211"/>
      <c r="U565" s="212"/>
      <c r="V565" s="212"/>
      <c r="W565" s="212"/>
      <c r="X565" s="212"/>
      <c r="Y565" s="211"/>
      <c r="Z565" s="211"/>
      <c r="AA565" s="212"/>
      <c r="AB565" s="211"/>
      <c r="AC565" s="211"/>
      <c r="AD565" s="211"/>
      <c r="AE565" s="211"/>
      <c r="AF565" s="211"/>
      <c r="AG565" s="211"/>
      <c r="AH565" s="211"/>
      <c r="AI565" s="211"/>
      <c r="AJ565" s="211"/>
      <c r="AK565" s="211"/>
      <c r="AL565" s="211"/>
      <c r="AM565" s="211"/>
      <c r="AN565" s="211"/>
      <c r="AO565" s="211"/>
      <c r="AP565" s="211"/>
      <c r="AQ565" s="211"/>
      <c r="AR565" s="211"/>
      <c r="AS565" s="211"/>
      <c r="AT565" s="211"/>
      <c r="AU565" s="211"/>
      <c r="AV565" s="211"/>
      <c r="AW565" s="211"/>
      <c r="AX565" s="211"/>
      <c r="AY565" s="211"/>
      <c r="AZ565" s="211"/>
      <c r="BA565" s="211"/>
      <c r="BB565" s="211"/>
      <c r="BC565" s="211"/>
      <c r="BD565" s="211"/>
      <c r="BE565" s="211"/>
      <c r="BF565" s="211"/>
      <c r="BG565" s="211"/>
      <c r="BH565" s="211"/>
      <c r="BI565" s="211"/>
      <c r="BJ565" s="211"/>
      <c r="BK565" s="211"/>
    </row>
    <row r="566" spans="1:63" s="144" customFormat="1" ht="11.25" hidden="1">
      <c r="A566" s="144" t="s">
        <v>191</v>
      </c>
      <c r="B566" s="144">
        <v>-4</v>
      </c>
      <c r="C566" s="144">
        <v>-4</v>
      </c>
      <c r="D566" s="144">
        <v>-5</v>
      </c>
      <c r="E566" s="144">
        <v>-5</v>
      </c>
      <c r="F566" s="144">
        <v>-6</v>
      </c>
      <c r="G566" s="144">
        <v>-6</v>
      </c>
      <c r="H566" s="144">
        <v>-7</v>
      </c>
      <c r="I566" s="144">
        <v>-7</v>
      </c>
      <c r="J566" s="144">
        <v>-8</v>
      </c>
      <c r="K566" s="144">
        <v>-8</v>
      </c>
      <c r="L566" s="144">
        <v>-9</v>
      </c>
      <c r="M566" s="144">
        <v>-9</v>
      </c>
      <c r="N566" s="144">
        <v>-10</v>
      </c>
      <c r="Q566" s="211"/>
      <c r="R566" s="211"/>
      <c r="S566" s="211"/>
      <c r="T566" s="211"/>
      <c r="U566" s="212"/>
      <c r="V566" s="212"/>
      <c r="W566" s="212"/>
      <c r="X566" s="212"/>
      <c r="Y566" s="211"/>
      <c r="Z566" s="211"/>
      <c r="AA566" s="212"/>
      <c r="AB566" s="211"/>
      <c r="AC566" s="211"/>
      <c r="AD566" s="211"/>
      <c r="AE566" s="211"/>
      <c r="AF566" s="211"/>
      <c r="AG566" s="211"/>
      <c r="AH566" s="211"/>
      <c r="AI566" s="211"/>
      <c r="AJ566" s="211"/>
      <c r="AK566" s="211"/>
      <c r="AL566" s="211"/>
      <c r="AM566" s="211"/>
      <c r="AN566" s="211"/>
      <c r="AO566" s="211"/>
      <c r="AP566" s="211"/>
      <c r="AQ566" s="211"/>
      <c r="AR566" s="211"/>
      <c r="AS566" s="211"/>
      <c r="AT566" s="211"/>
      <c r="AU566" s="211"/>
      <c r="AV566" s="211"/>
      <c r="AW566" s="211"/>
      <c r="AX566" s="211"/>
      <c r="AY566" s="211"/>
      <c r="AZ566" s="211"/>
      <c r="BA566" s="211"/>
      <c r="BB566" s="211"/>
      <c r="BC566" s="211"/>
      <c r="BD566" s="211"/>
      <c r="BE566" s="211"/>
      <c r="BF566" s="211"/>
      <c r="BG566" s="211"/>
      <c r="BH566" s="211"/>
      <c r="BI566" s="211"/>
      <c r="BJ566" s="211"/>
      <c r="BK566" s="211"/>
    </row>
    <row r="567" spans="1:63" s="144" customFormat="1" ht="11.25" hidden="1">
      <c r="A567" s="144" t="s">
        <v>192</v>
      </c>
      <c r="B567" s="144">
        <v>10</v>
      </c>
      <c r="C567" s="144">
        <v>9</v>
      </c>
      <c r="D567" s="144">
        <v>9</v>
      </c>
      <c r="E567" s="144">
        <v>8</v>
      </c>
      <c r="F567" s="144">
        <v>8</v>
      </c>
      <c r="G567" s="144">
        <v>7</v>
      </c>
      <c r="H567" s="144">
        <v>7</v>
      </c>
      <c r="I567" s="144">
        <v>6</v>
      </c>
      <c r="J567" s="144">
        <v>6</v>
      </c>
      <c r="K567" s="144">
        <v>5</v>
      </c>
      <c r="L567" s="144">
        <v>5</v>
      </c>
      <c r="M567" s="144">
        <v>4</v>
      </c>
      <c r="N567" s="144">
        <v>4</v>
      </c>
      <c r="Q567" s="211"/>
      <c r="R567" s="211"/>
      <c r="S567" s="211"/>
      <c r="T567" s="211"/>
      <c r="U567" s="212"/>
      <c r="V567" s="212"/>
      <c r="W567" s="212"/>
      <c r="X567" s="212"/>
      <c r="Y567" s="211"/>
      <c r="Z567" s="211"/>
      <c r="AA567" s="212"/>
      <c r="AB567" s="211"/>
      <c r="AC567" s="211"/>
      <c r="AD567" s="211"/>
      <c r="AE567" s="211"/>
      <c r="AF567" s="211"/>
      <c r="AG567" s="211"/>
      <c r="AH567" s="211"/>
      <c r="AI567" s="211"/>
      <c r="AJ567" s="211"/>
      <c r="AK567" s="211"/>
      <c r="AL567" s="211"/>
      <c r="AM567" s="211"/>
      <c r="AN567" s="211"/>
      <c r="AO567" s="211"/>
      <c r="AP567" s="211"/>
      <c r="AQ567" s="211"/>
      <c r="AR567" s="211"/>
      <c r="AS567" s="211"/>
      <c r="AT567" s="211"/>
      <c r="AU567" s="211"/>
      <c r="AV567" s="211"/>
      <c r="AW567" s="211"/>
      <c r="AX567" s="211"/>
      <c r="AY567" s="211"/>
      <c r="AZ567" s="211"/>
      <c r="BA567" s="211"/>
      <c r="BB567" s="211"/>
      <c r="BC567" s="211"/>
      <c r="BD567" s="211"/>
      <c r="BE567" s="211"/>
      <c r="BF567" s="211"/>
      <c r="BG567" s="211"/>
      <c r="BH567" s="211"/>
      <c r="BI567" s="211"/>
      <c r="BJ567" s="211"/>
      <c r="BK567" s="211"/>
    </row>
    <row r="568" spans="1:63" s="144" customFormat="1" ht="11.25" hidden="1">
      <c r="A568" s="144" t="s">
        <v>193</v>
      </c>
      <c r="B568" s="144">
        <v>50</v>
      </c>
      <c r="C568" s="144">
        <v>53</v>
      </c>
      <c r="D568" s="144">
        <v>59</v>
      </c>
      <c r="E568" s="144">
        <v>62</v>
      </c>
      <c r="F568" s="144">
        <v>69</v>
      </c>
      <c r="G568" s="144">
        <v>73</v>
      </c>
      <c r="H568" s="144">
        <v>79</v>
      </c>
      <c r="I568" s="144">
        <v>82</v>
      </c>
      <c r="J568" s="144">
        <v>89</v>
      </c>
      <c r="K568" s="144">
        <v>93</v>
      </c>
      <c r="L568" s="144">
        <v>99</v>
      </c>
      <c r="M568" s="144">
        <v>102</v>
      </c>
      <c r="N568" s="144">
        <v>109</v>
      </c>
      <c r="O568" s="144">
        <v>113</v>
      </c>
      <c r="P568" s="144">
        <v>119</v>
      </c>
      <c r="Q568" s="211">
        <v>122</v>
      </c>
      <c r="R568" s="211">
        <v>130</v>
      </c>
      <c r="S568" s="211">
        <v>132</v>
      </c>
      <c r="T568" s="211">
        <v>139</v>
      </c>
      <c r="U568" s="212">
        <v>142</v>
      </c>
      <c r="V568" s="212">
        <v>150</v>
      </c>
      <c r="W568" s="212"/>
      <c r="X568" s="212"/>
      <c r="Y568" s="211"/>
      <c r="Z568" s="211"/>
      <c r="AA568" s="212"/>
      <c r="AB568" s="211"/>
      <c r="AC568" s="211"/>
      <c r="AD568" s="211"/>
      <c r="AE568" s="211"/>
      <c r="AF568" s="211"/>
      <c r="AG568" s="211"/>
      <c r="AH568" s="211"/>
      <c r="AI568" s="211"/>
      <c r="AJ568" s="211"/>
      <c r="AK568" s="211"/>
      <c r="AL568" s="211"/>
      <c r="AM568" s="211"/>
      <c r="AN568" s="211"/>
      <c r="AO568" s="211"/>
      <c r="AP568" s="211"/>
      <c r="AQ568" s="211"/>
      <c r="AR568" s="211"/>
      <c r="AS568" s="211"/>
      <c r="AT568" s="211"/>
      <c r="AU568" s="211"/>
      <c r="AV568" s="211"/>
      <c r="AW568" s="211"/>
      <c r="AX568" s="211"/>
      <c r="AY568" s="211"/>
      <c r="AZ568" s="211"/>
      <c r="BA568" s="211"/>
      <c r="BB568" s="211"/>
      <c r="BC568" s="211"/>
      <c r="BD568" s="211"/>
      <c r="BE568" s="211"/>
      <c r="BF568" s="211"/>
      <c r="BG568" s="211"/>
      <c r="BH568" s="211"/>
      <c r="BI568" s="211"/>
      <c r="BJ568" s="211"/>
      <c r="BK568" s="211"/>
    </row>
    <row r="569" spans="1:63" s="144" customFormat="1" ht="11.25" hidden="1">
      <c r="A569" s="144" t="s">
        <v>194</v>
      </c>
      <c r="B569" s="144">
        <v>-3</v>
      </c>
      <c r="C569" s="144">
        <v>-4</v>
      </c>
      <c r="D569" s="144">
        <v>-4</v>
      </c>
      <c r="E569" s="144">
        <v>-5</v>
      </c>
      <c r="F569" s="144">
        <v>-5</v>
      </c>
      <c r="G569" s="144">
        <v>-6</v>
      </c>
      <c r="H569" s="144">
        <v>-6</v>
      </c>
      <c r="I569" s="144">
        <v>-7</v>
      </c>
      <c r="J569" s="144">
        <v>-7</v>
      </c>
      <c r="K569" s="144">
        <v>-8</v>
      </c>
      <c r="L569" s="144">
        <v>-8</v>
      </c>
      <c r="M569" s="144">
        <v>-9</v>
      </c>
      <c r="N569" s="144">
        <v>-9</v>
      </c>
      <c r="O569" s="144">
        <v>-10</v>
      </c>
      <c r="P569" s="144">
        <v>-10</v>
      </c>
      <c r="Q569" s="211">
        <v>-11</v>
      </c>
      <c r="R569" s="211">
        <v>-11</v>
      </c>
      <c r="S569" s="211">
        <v>-12</v>
      </c>
      <c r="T569" s="211">
        <v>-12</v>
      </c>
      <c r="U569" s="212">
        <v>-13</v>
      </c>
      <c r="V569" s="212">
        <v>-13</v>
      </c>
      <c r="W569" s="212"/>
      <c r="X569" s="212"/>
      <c r="Y569" s="211"/>
      <c r="Z569" s="211"/>
      <c r="AA569" s="212"/>
      <c r="AB569" s="211"/>
      <c r="AC569" s="211"/>
      <c r="AD569" s="211"/>
      <c r="AE569" s="211"/>
      <c r="AF569" s="211"/>
      <c r="AG569" s="211"/>
      <c r="AH569" s="211"/>
      <c r="AI569" s="211"/>
      <c r="AJ569" s="211"/>
      <c r="AK569" s="211"/>
      <c r="AL569" s="211"/>
      <c r="AM569" s="211"/>
      <c r="AN569" s="211"/>
      <c r="AO569" s="211"/>
      <c r="AP569" s="211"/>
      <c r="AQ569" s="211"/>
      <c r="AR569" s="211"/>
      <c r="AS569" s="211"/>
      <c r="AT569" s="211"/>
      <c r="AU569" s="211"/>
      <c r="AV569" s="211"/>
      <c r="AW569" s="211"/>
      <c r="AX569" s="211"/>
      <c r="AY569" s="211"/>
      <c r="AZ569" s="211"/>
      <c r="BA569" s="211"/>
      <c r="BB569" s="211"/>
      <c r="BC569" s="211"/>
      <c r="BD569" s="211"/>
      <c r="BE569" s="211"/>
      <c r="BF569" s="211"/>
      <c r="BG569" s="211"/>
      <c r="BH569" s="211"/>
      <c r="BI569" s="211"/>
      <c r="BJ569" s="211"/>
      <c r="BK569" s="211"/>
    </row>
    <row r="570" spans="1:63" s="144" customFormat="1" ht="11.25" hidden="1">
      <c r="A570" s="144" t="s">
        <v>195</v>
      </c>
      <c r="B570" s="144">
        <v>13</v>
      </c>
      <c r="C570" s="144">
        <v>13</v>
      </c>
      <c r="D570" s="144">
        <v>12</v>
      </c>
      <c r="E570" s="144">
        <v>12</v>
      </c>
      <c r="F570" s="144">
        <v>11</v>
      </c>
      <c r="G570" s="144">
        <v>11</v>
      </c>
      <c r="H570" s="144">
        <v>10</v>
      </c>
      <c r="I570" s="144">
        <v>10</v>
      </c>
      <c r="J570" s="144">
        <v>9</v>
      </c>
      <c r="K570" s="144">
        <v>9</v>
      </c>
      <c r="L570" s="144">
        <v>8</v>
      </c>
      <c r="M570" s="144">
        <v>8</v>
      </c>
      <c r="N570" s="144">
        <v>7</v>
      </c>
      <c r="O570" s="144">
        <v>7</v>
      </c>
      <c r="P570" s="144">
        <v>6</v>
      </c>
      <c r="Q570" s="211">
        <v>6</v>
      </c>
      <c r="R570" s="211">
        <v>5</v>
      </c>
      <c r="S570" s="211">
        <v>5</v>
      </c>
      <c r="T570" s="211">
        <v>4</v>
      </c>
      <c r="U570" s="212">
        <v>4</v>
      </c>
      <c r="V570" s="212">
        <v>3</v>
      </c>
      <c r="W570" s="212"/>
      <c r="X570" s="212"/>
      <c r="Y570" s="211"/>
      <c r="Z570" s="211"/>
      <c r="AA570" s="212"/>
      <c r="AB570" s="211"/>
      <c r="AC570" s="211"/>
      <c r="AD570" s="211"/>
      <c r="AE570" s="211"/>
      <c r="AF570" s="211"/>
      <c r="AG570" s="211"/>
      <c r="AH570" s="211"/>
      <c r="AI570" s="211"/>
      <c r="AJ570" s="211"/>
      <c r="AK570" s="211"/>
      <c r="AL570" s="211"/>
      <c r="AM570" s="211"/>
      <c r="AN570" s="211"/>
      <c r="AO570" s="211"/>
      <c r="AP570" s="211"/>
      <c r="AQ570" s="211"/>
      <c r="AR570" s="211"/>
      <c r="AS570" s="211"/>
      <c r="AT570" s="211"/>
      <c r="AU570" s="211"/>
      <c r="AV570" s="211"/>
      <c r="AW570" s="211"/>
      <c r="AX570" s="211"/>
      <c r="AY570" s="211"/>
      <c r="AZ570" s="211"/>
      <c r="BA570" s="211"/>
      <c r="BB570" s="211"/>
      <c r="BC570" s="211"/>
      <c r="BD570" s="211"/>
      <c r="BE570" s="211"/>
      <c r="BF570" s="211"/>
      <c r="BG570" s="211"/>
      <c r="BH570" s="211"/>
      <c r="BI570" s="211"/>
      <c r="BJ570" s="211"/>
      <c r="BK570" s="211"/>
    </row>
    <row r="571" spans="1:63" s="144" customFormat="1" ht="11.25" hidden="1">
      <c r="A571" s="144" t="s">
        <v>196</v>
      </c>
      <c r="B571" s="144">
        <v>50</v>
      </c>
      <c r="C571" s="144">
        <v>52</v>
      </c>
      <c r="D571" s="144">
        <v>58</v>
      </c>
      <c r="E571" s="144">
        <v>61</v>
      </c>
      <c r="F571" s="144">
        <v>64</v>
      </c>
      <c r="G571" s="144">
        <v>69</v>
      </c>
      <c r="H571" s="144">
        <v>72</v>
      </c>
      <c r="I571" s="144">
        <v>75</v>
      </c>
      <c r="J571" s="144">
        <v>81</v>
      </c>
      <c r="K571" s="144">
        <v>84</v>
      </c>
      <c r="L571" s="144">
        <v>87</v>
      </c>
      <c r="M571" s="144">
        <v>93</v>
      </c>
      <c r="N571" s="144">
        <v>96</v>
      </c>
      <c r="O571" s="144">
        <v>98</v>
      </c>
      <c r="P571" s="144">
        <v>104</v>
      </c>
      <c r="Q571" s="211">
        <v>106</v>
      </c>
      <c r="R571" s="211">
        <v>112</v>
      </c>
      <c r="S571" s="211">
        <v>115</v>
      </c>
      <c r="T571" s="211">
        <v>118</v>
      </c>
      <c r="U571" s="212">
        <v>121</v>
      </c>
      <c r="V571" s="212">
        <v>126</v>
      </c>
      <c r="W571" s="212">
        <v>129</v>
      </c>
      <c r="X571" s="212">
        <v>134</v>
      </c>
      <c r="Y571" s="211">
        <v>137</v>
      </c>
      <c r="Z571" s="211">
        <v>142</v>
      </c>
      <c r="AA571" s="212">
        <v>145</v>
      </c>
      <c r="AB571" s="211">
        <v>150</v>
      </c>
      <c r="AC571" s="211"/>
      <c r="AD571" s="211"/>
      <c r="AE571" s="211"/>
      <c r="AF571" s="211"/>
      <c r="AG571" s="211"/>
      <c r="AH571" s="211"/>
      <c r="AI571" s="211"/>
      <c r="AJ571" s="211"/>
      <c r="AK571" s="211"/>
      <c r="AL571" s="211"/>
      <c r="AM571" s="211"/>
      <c r="AN571" s="211"/>
      <c r="AO571" s="211"/>
      <c r="AP571" s="211"/>
      <c r="AQ571" s="211"/>
      <c r="AR571" s="211"/>
      <c r="AS571" s="211"/>
      <c r="AT571" s="211"/>
      <c r="AU571" s="211"/>
      <c r="AV571" s="211"/>
      <c r="AW571" s="211"/>
      <c r="AX571" s="211"/>
      <c r="AY571" s="211"/>
      <c r="AZ571" s="211"/>
      <c r="BA571" s="211"/>
      <c r="BB571" s="211"/>
      <c r="BC571" s="211"/>
      <c r="BD571" s="211"/>
      <c r="BE571" s="211"/>
      <c r="BF571" s="211"/>
      <c r="BG571" s="211"/>
      <c r="BH571" s="211"/>
      <c r="BI571" s="211"/>
      <c r="BJ571" s="211"/>
      <c r="BK571" s="211"/>
    </row>
    <row r="572" spans="1:63" s="144" customFormat="1" ht="11.25" hidden="1">
      <c r="A572" s="144" t="s">
        <v>197</v>
      </c>
      <c r="B572" s="144">
        <v>-3</v>
      </c>
      <c r="C572" s="144">
        <v>-3</v>
      </c>
      <c r="D572" s="144">
        <v>-4</v>
      </c>
      <c r="E572" s="144">
        <v>-4</v>
      </c>
      <c r="F572" s="144">
        <v>-5</v>
      </c>
      <c r="G572" s="144">
        <v>-5</v>
      </c>
      <c r="H572" s="144">
        <v>-6</v>
      </c>
      <c r="I572" s="144">
        <v>-6</v>
      </c>
      <c r="J572" s="144">
        <v>-7</v>
      </c>
      <c r="K572" s="144">
        <v>-7</v>
      </c>
      <c r="L572" s="144">
        <v>-8</v>
      </c>
      <c r="M572" s="144">
        <v>-8</v>
      </c>
      <c r="N572" s="144">
        <v>-9</v>
      </c>
      <c r="O572" s="144">
        <v>-9</v>
      </c>
      <c r="P572" s="144">
        <v>-10</v>
      </c>
      <c r="Q572" s="211">
        <v>-10</v>
      </c>
      <c r="R572" s="211">
        <v>-11</v>
      </c>
      <c r="S572" s="211">
        <v>-11</v>
      </c>
      <c r="T572" s="211">
        <v>-12</v>
      </c>
      <c r="U572" s="212">
        <v>-12</v>
      </c>
      <c r="V572" s="212">
        <v>-13</v>
      </c>
      <c r="W572" s="212">
        <v>-13</v>
      </c>
      <c r="X572" s="212">
        <v>-14</v>
      </c>
      <c r="Y572" s="211">
        <v>-14</v>
      </c>
      <c r="Z572" s="211">
        <v>-15</v>
      </c>
      <c r="AA572" s="212">
        <v>-15</v>
      </c>
      <c r="AB572" s="211">
        <v>-16</v>
      </c>
      <c r="AC572" s="211"/>
      <c r="AD572" s="211"/>
      <c r="AE572" s="211"/>
      <c r="AF572" s="211"/>
      <c r="AG572" s="211"/>
      <c r="AH572" s="211"/>
      <c r="AI572" s="211"/>
      <c r="AJ572" s="211"/>
      <c r="AK572" s="211"/>
      <c r="AL572" s="211"/>
      <c r="AM572" s="211"/>
      <c r="AN572" s="211"/>
      <c r="AO572" s="211"/>
      <c r="AP572" s="211"/>
      <c r="AQ572" s="211"/>
      <c r="AR572" s="211"/>
      <c r="AS572" s="211"/>
      <c r="AT572" s="211"/>
      <c r="AU572" s="211"/>
      <c r="AV572" s="211"/>
      <c r="AW572" s="211"/>
      <c r="AX572" s="211"/>
      <c r="AY572" s="211"/>
      <c r="AZ572" s="211"/>
      <c r="BA572" s="211"/>
      <c r="BB572" s="211"/>
      <c r="BC572" s="211"/>
      <c r="BD572" s="211"/>
      <c r="BE572" s="211"/>
      <c r="BF572" s="211"/>
      <c r="BG572" s="211"/>
      <c r="BH572" s="211"/>
      <c r="BI572" s="211"/>
      <c r="BJ572" s="211"/>
      <c r="BK572" s="211"/>
    </row>
    <row r="573" spans="1:63" s="144" customFormat="1" ht="11.25" hidden="1">
      <c r="A573" s="144" t="s">
        <v>198</v>
      </c>
      <c r="B573" s="144">
        <v>16</v>
      </c>
      <c r="C573" s="144">
        <v>15</v>
      </c>
      <c r="D573" s="144">
        <v>15</v>
      </c>
      <c r="E573" s="144">
        <v>14</v>
      </c>
      <c r="F573" s="144">
        <v>14</v>
      </c>
      <c r="G573" s="144">
        <v>13</v>
      </c>
      <c r="H573" s="144">
        <v>13</v>
      </c>
      <c r="I573" s="144">
        <v>12</v>
      </c>
      <c r="J573" s="144">
        <v>12</v>
      </c>
      <c r="K573" s="144">
        <v>11</v>
      </c>
      <c r="L573" s="144">
        <v>11</v>
      </c>
      <c r="M573" s="144">
        <v>10</v>
      </c>
      <c r="N573" s="144">
        <v>10</v>
      </c>
      <c r="O573" s="144">
        <v>9</v>
      </c>
      <c r="P573" s="144">
        <v>9</v>
      </c>
      <c r="Q573" s="211">
        <v>8</v>
      </c>
      <c r="R573" s="211">
        <v>8</v>
      </c>
      <c r="S573" s="211">
        <v>7</v>
      </c>
      <c r="T573" s="211">
        <v>7</v>
      </c>
      <c r="U573" s="212">
        <v>6</v>
      </c>
      <c r="V573" s="212">
        <v>6</v>
      </c>
      <c r="W573" s="212">
        <v>5</v>
      </c>
      <c r="X573" s="212">
        <v>5</v>
      </c>
      <c r="Y573" s="211">
        <v>4</v>
      </c>
      <c r="Z573" s="211">
        <v>4</v>
      </c>
      <c r="AA573" s="212">
        <v>3</v>
      </c>
      <c r="AB573" s="211">
        <v>3</v>
      </c>
      <c r="AC573" s="211"/>
      <c r="AD573" s="211"/>
      <c r="AE573" s="211"/>
      <c r="AF573" s="211"/>
      <c r="AG573" s="211"/>
      <c r="AH573" s="211"/>
      <c r="AI573" s="211"/>
      <c r="AJ573" s="211"/>
      <c r="AK573" s="211"/>
      <c r="AL573" s="211"/>
      <c r="AM573" s="211"/>
      <c r="AN573" s="211"/>
      <c r="AO573" s="211"/>
      <c r="AP573" s="211"/>
      <c r="AQ573" s="211"/>
      <c r="AR573" s="211"/>
      <c r="AS573" s="211"/>
      <c r="AT573" s="211"/>
      <c r="AU573" s="211"/>
      <c r="AV573" s="211"/>
      <c r="AW573" s="211"/>
      <c r="AX573" s="211"/>
      <c r="AY573" s="211"/>
      <c r="AZ573" s="211"/>
      <c r="BA573" s="211"/>
      <c r="BB573" s="211"/>
      <c r="BC573" s="211"/>
      <c r="BD573" s="211"/>
      <c r="BE573" s="211"/>
      <c r="BF573" s="211"/>
      <c r="BG573" s="211"/>
      <c r="BH573" s="211"/>
      <c r="BI573" s="211"/>
      <c r="BJ573" s="211"/>
      <c r="BK573" s="211"/>
    </row>
    <row r="574" spans="1:63" s="144" customFormat="1" ht="11.25" hidden="1">
      <c r="A574" s="144" t="s">
        <v>199</v>
      </c>
      <c r="B574" s="144">
        <v>50</v>
      </c>
      <c r="C574" s="144">
        <v>54</v>
      </c>
      <c r="D574" s="144">
        <v>58</v>
      </c>
      <c r="E574" s="144">
        <v>61</v>
      </c>
      <c r="F574" s="144">
        <v>64</v>
      </c>
      <c r="G574" s="144">
        <v>67</v>
      </c>
      <c r="H574" s="144">
        <v>70</v>
      </c>
      <c r="I574" s="144">
        <v>75</v>
      </c>
      <c r="J574" s="144">
        <v>80</v>
      </c>
      <c r="K574" s="144">
        <v>83</v>
      </c>
      <c r="L574" s="144">
        <v>86</v>
      </c>
      <c r="M574" s="144">
        <v>88</v>
      </c>
      <c r="N574" s="144">
        <v>93</v>
      </c>
      <c r="O574" s="144">
        <v>96</v>
      </c>
      <c r="P574" s="144">
        <v>99</v>
      </c>
      <c r="Q574" s="211">
        <v>104</v>
      </c>
      <c r="R574" s="211">
        <v>106</v>
      </c>
      <c r="S574" s="211">
        <v>109</v>
      </c>
      <c r="T574" s="211">
        <v>114</v>
      </c>
      <c r="U574" s="212">
        <v>117</v>
      </c>
      <c r="V574" s="212">
        <v>119</v>
      </c>
      <c r="W574" s="212">
        <v>122</v>
      </c>
      <c r="X574" s="212">
        <v>126</v>
      </c>
      <c r="Y574" s="211">
        <v>129</v>
      </c>
      <c r="Z574" s="211">
        <v>131</v>
      </c>
      <c r="AA574" s="212">
        <v>134</v>
      </c>
      <c r="AB574" s="211">
        <v>137</v>
      </c>
      <c r="AC574" s="211">
        <v>140</v>
      </c>
      <c r="AD574" s="211">
        <v>143</v>
      </c>
      <c r="AE574" s="211">
        <v>146</v>
      </c>
      <c r="AF574" s="211">
        <v>150</v>
      </c>
      <c r="AG574" s="211"/>
      <c r="AH574" s="211"/>
      <c r="AI574" s="211"/>
      <c r="AJ574" s="211"/>
      <c r="AK574" s="211"/>
      <c r="AL574" s="211"/>
      <c r="AM574" s="211"/>
      <c r="AN574" s="211"/>
      <c r="AO574" s="211"/>
      <c r="AP574" s="211"/>
      <c r="AQ574" s="211"/>
      <c r="AR574" s="211"/>
      <c r="AS574" s="211"/>
      <c r="AT574" s="211"/>
      <c r="AU574" s="211"/>
      <c r="AV574" s="211"/>
      <c r="AW574" s="211"/>
      <c r="AX574" s="211"/>
      <c r="AY574" s="211"/>
      <c r="AZ574" s="211"/>
      <c r="BA574" s="211"/>
      <c r="BB574" s="211"/>
      <c r="BC574" s="211"/>
      <c r="BD574" s="211"/>
      <c r="BE574" s="211"/>
      <c r="BF574" s="211"/>
      <c r="BG574" s="211"/>
      <c r="BH574" s="211"/>
      <c r="BI574" s="211"/>
      <c r="BJ574" s="211"/>
      <c r="BK574" s="211"/>
    </row>
    <row r="575" spans="1:63" s="144" customFormat="1" ht="11.25" hidden="1">
      <c r="A575" s="144" t="s">
        <v>200</v>
      </c>
      <c r="B575" s="144">
        <v>-2</v>
      </c>
      <c r="C575" s="144">
        <v>-3</v>
      </c>
      <c r="D575" s="144">
        <v>-3</v>
      </c>
      <c r="E575" s="144">
        <v>-4</v>
      </c>
      <c r="F575" s="144">
        <v>-4</v>
      </c>
      <c r="G575" s="144">
        <v>-5</v>
      </c>
      <c r="H575" s="144">
        <v>-5</v>
      </c>
      <c r="I575" s="144">
        <v>-6</v>
      </c>
      <c r="J575" s="144">
        <v>-7</v>
      </c>
      <c r="K575" s="144">
        <v>-7</v>
      </c>
      <c r="L575" s="144">
        <v>-8</v>
      </c>
      <c r="M575" s="144">
        <v>-8</v>
      </c>
      <c r="N575" s="144">
        <v>-9</v>
      </c>
      <c r="O575" s="144">
        <v>-9</v>
      </c>
      <c r="P575" s="144">
        <v>-10</v>
      </c>
      <c r="Q575" s="211">
        <v>-10</v>
      </c>
      <c r="R575" s="211">
        <v>-11</v>
      </c>
      <c r="S575" s="211">
        <v>-11</v>
      </c>
      <c r="T575" s="211">
        <v>-12</v>
      </c>
      <c r="U575" s="212">
        <v>-12</v>
      </c>
      <c r="V575" s="212">
        <v>-13</v>
      </c>
      <c r="W575" s="212">
        <v>-13</v>
      </c>
      <c r="X575" s="212">
        <v>-14</v>
      </c>
      <c r="Y575" s="211">
        <v>-14</v>
      </c>
      <c r="Z575" s="211">
        <v>-14</v>
      </c>
      <c r="AA575" s="212">
        <v>-15</v>
      </c>
      <c r="AB575" s="211">
        <v>-15</v>
      </c>
      <c r="AC575" s="211">
        <v>-16</v>
      </c>
      <c r="AD575" s="211">
        <v>-16</v>
      </c>
      <c r="AE575" s="211">
        <v>-17</v>
      </c>
      <c r="AF575" s="211">
        <v>-17</v>
      </c>
      <c r="AG575" s="211"/>
      <c r="AH575" s="211"/>
      <c r="AI575" s="211"/>
      <c r="AJ575" s="211"/>
      <c r="AK575" s="211"/>
      <c r="AL575" s="211"/>
      <c r="AM575" s="211"/>
      <c r="AN575" s="211"/>
      <c r="AO575" s="211"/>
      <c r="AP575" s="211"/>
      <c r="AQ575" s="211"/>
      <c r="AR575" s="211"/>
      <c r="AS575" s="211"/>
      <c r="AT575" s="211"/>
      <c r="AU575" s="211"/>
      <c r="AV575" s="211"/>
      <c r="AW575" s="211"/>
      <c r="AX575" s="211"/>
      <c r="AY575" s="211"/>
      <c r="AZ575" s="211"/>
      <c r="BA575" s="211"/>
      <c r="BB575" s="211"/>
      <c r="BC575" s="211"/>
      <c r="BD575" s="211"/>
      <c r="BE575" s="211"/>
      <c r="BF575" s="211"/>
      <c r="BG575" s="211"/>
      <c r="BH575" s="211"/>
      <c r="BI575" s="211"/>
      <c r="BJ575" s="211"/>
      <c r="BK575" s="211"/>
    </row>
    <row r="576" spans="1:63" s="144" customFormat="1" ht="11.25" hidden="1">
      <c r="A576" s="144" t="s">
        <v>201</v>
      </c>
      <c r="B576" s="144">
        <v>17</v>
      </c>
      <c r="C576" s="144">
        <v>17</v>
      </c>
      <c r="D576" s="144">
        <v>16</v>
      </c>
      <c r="E576" s="144">
        <v>16</v>
      </c>
      <c r="F576" s="144">
        <v>15</v>
      </c>
      <c r="G576" s="144">
        <v>15</v>
      </c>
      <c r="H576" s="144">
        <v>14</v>
      </c>
      <c r="I576" s="144">
        <v>13</v>
      </c>
      <c r="J576" s="144">
        <v>13</v>
      </c>
      <c r="K576" s="144">
        <v>12</v>
      </c>
      <c r="L576" s="144">
        <v>12</v>
      </c>
      <c r="M576" s="144">
        <v>11</v>
      </c>
      <c r="N576" s="144">
        <v>11</v>
      </c>
      <c r="O576" s="144">
        <v>10</v>
      </c>
      <c r="P576" s="144">
        <v>10</v>
      </c>
      <c r="Q576" s="211">
        <v>9</v>
      </c>
      <c r="R576" s="211">
        <v>9</v>
      </c>
      <c r="S576" s="211">
        <v>8</v>
      </c>
      <c r="T576" s="211">
        <v>8</v>
      </c>
      <c r="U576" s="212">
        <v>7</v>
      </c>
      <c r="V576" s="212">
        <v>7</v>
      </c>
      <c r="W576" s="212">
        <v>6</v>
      </c>
      <c r="X576" s="212">
        <v>6</v>
      </c>
      <c r="Y576" s="211">
        <v>5</v>
      </c>
      <c r="Z576" s="211">
        <v>5</v>
      </c>
      <c r="AA576" s="212">
        <v>5</v>
      </c>
      <c r="AB576" s="211">
        <v>4</v>
      </c>
      <c r="AC576" s="211">
        <v>4</v>
      </c>
      <c r="AD576" s="211">
        <v>3</v>
      </c>
      <c r="AE576" s="211">
        <v>3</v>
      </c>
      <c r="AF576" s="211">
        <v>2</v>
      </c>
      <c r="AG576" s="211"/>
      <c r="AH576" s="211"/>
      <c r="AI576" s="211"/>
      <c r="AJ576" s="211"/>
      <c r="AK576" s="211"/>
      <c r="AL576" s="211"/>
      <c r="AM576" s="211"/>
      <c r="AN576" s="211"/>
      <c r="AO576" s="211"/>
      <c r="AP576" s="211"/>
      <c r="AQ576" s="211"/>
      <c r="AR576" s="211"/>
      <c r="AS576" s="211"/>
      <c r="AT576" s="211"/>
      <c r="AU576" s="211"/>
      <c r="AV576" s="211"/>
      <c r="AW576" s="211"/>
      <c r="AX576" s="211"/>
      <c r="AY576" s="211"/>
      <c r="AZ576" s="211"/>
      <c r="BA576" s="211"/>
      <c r="BB576" s="211"/>
      <c r="BC576" s="211"/>
      <c r="BD576" s="211"/>
      <c r="BE576" s="211"/>
      <c r="BF576" s="211"/>
      <c r="BG576" s="211"/>
      <c r="BH576" s="211"/>
      <c r="BI576" s="211"/>
      <c r="BJ576" s="211"/>
      <c r="BK576" s="211"/>
    </row>
    <row r="577" spans="1:91" s="145" customFormat="1" ht="11.25" hidden="1">
      <c r="A577" s="207" t="s">
        <v>202</v>
      </c>
      <c r="B577" s="208">
        <v>1</v>
      </c>
      <c r="C577" s="208">
        <v>62</v>
      </c>
      <c r="D577" s="208">
        <v>68</v>
      </c>
      <c r="E577" s="208">
        <v>71</v>
      </c>
      <c r="F577" s="208">
        <v>73</v>
      </c>
      <c r="G577" s="208">
        <v>75</v>
      </c>
      <c r="H577" s="208">
        <v>77</v>
      </c>
      <c r="I577" s="208">
        <v>78</v>
      </c>
      <c r="J577" s="208">
        <v>79</v>
      </c>
      <c r="K577" s="208">
        <v>80</v>
      </c>
      <c r="L577" s="208">
        <v>81</v>
      </c>
      <c r="M577" s="208">
        <v>82</v>
      </c>
      <c r="N577" s="208">
        <v>83</v>
      </c>
      <c r="O577" s="208">
        <v>84</v>
      </c>
      <c r="P577" s="208">
        <v>85</v>
      </c>
      <c r="Q577" s="219">
        <v>86</v>
      </c>
      <c r="R577" s="219">
        <v>87</v>
      </c>
      <c r="S577" s="219">
        <v>88</v>
      </c>
      <c r="T577" s="219">
        <v>89</v>
      </c>
      <c r="U577" s="219">
        <v>90</v>
      </c>
      <c r="V577" s="219">
        <v>91</v>
      </c>
      <c r="W577" s="219">
        <v>92</v>
      </c>
      <c r="X577" s="219">
        <v>93</v>
      </c>
      <c r="Y577" s="219">
        <v>94</v>
      </c>
      <c r="Z577" s="219">
        <v>95</v>
      </c>
      <c r="AA577" s="219">
        <v>96</v>
      </c>
      <c r="AB577" s="219">
        <v>97</v>
      </c>
      <c r="AC577" s="219">
        <v>98</v>
      </c>
      <c r="AD577" s="219">
        <v>99</v>
      </c>
      <c r="AE577" s="219">
        <v>100</v>
      </c>
      <c r="AF577" s="219">
        <v>101</v>
      </c>
      <c r="AG577" s="219">
        <v>102</v>
      </c>
      <c r="AH577" s="219">
        <v>103</v>
      </c>
      <c r="AI577" s="219">
        <v>104</v>
      </c>
      <c r="AJ577" s="219">
        <v>105</v>
      </c>
      <c r="AK577" s="219">
        <v>106</v>
      </c>
      <c r="AL577" s="219">
        <v>107</v>
      </c>
      <c r="AM577" s="219">
        <v>108</v>
      </c>
      <c r="AN577" s="219">
        <v>109</v>
      </c>
      <c r="AO577" s="219">
        <v>110</v>
      </c>
      <c r="AP577" s="219">
        <v>111</v>
      </c>
      <c r="AQ577" s="219">
        <v>112</v>
      </c>
      <c r="AR577" s="219">
        <v>113</v>
      </c>
      <c r="AS577" s="219">
        <v>114</v>
      </c>
      <c r="AT577" s="219">
        <v>115</v>
      </c>
      <c r="AU577" s="219">
        <v>116</v>
      </c>
      <c r="AV577" s="219">
        <v>117</v>
      </c>
      <c r="AW577" s="219">
        <v>118</v>
      </c>
      <c r="AX577" s="219">
        <v>119</v>
      </c>
      <c r="AY577" s="219">
        <v>120</v>
      </c>
      <c r="AZ577" s="219">
        <v>121</v>
      </c>
      <c r="BA577" s="219">
        <v>122</v>
      </c>
      <c r="BB577" s="219">
        <v>123</v>
      </c>
      <c r="BC577" s="219">
        <v>124</v>
      </c>
      <c r="BD577" s="219">
        <v>126</v>
      </c>
      <c r="BE577" s="219">
        <v>129</v>
      </c>
      <c r="BF577" s="219">
        <v>131</v>
      </c>
      <c r="BG577" s="219">
        <v>133</v>
      </c>
      <c r="BH577" s="219"/>
      <c r="BI577" s="219"/>
      <c r="BJ577" s="219"/>
      <c r="BK577" s="219"/>
      <c r="BL577" s="208"/>
      <c r="BM577" s="208"/>
      <c r="BN577" s="208"/>
      <c r="BO577" s="208"/>
      <c r="BP577" s="208"/>
      <c r="BQ577" s="208"/>
      <c r="BR577" s="208"/>
      <c r="BS577" s="208"/>
      <c r="BT577" s="208"/>
      <c r="BU577" s="208"/>
      <c r="BV577" s="208"/>
      <c r="BW577" s="208"/>
      <c r="BX577" s="208"/>
      <c r="BY577" s="208"/>
      <c r="BZ577" s="208"/>
      <c r="CA577" s="208"/>
      <c r="CB577" s="208"/>
      <c r="CC577" s="208"/>
      <c r="CD577" s="208"/>
      <c r="CE577" s="208"/>
      <c r="CF577" s="208"/>
      <c r="CG577" s="208"/>
      <c r="CH577" s="208"/>
      <c r="CI577" s="208"/>
      <c r="CJ577" s="208"/>
      <c r="CK577" s="208"/>
      <c r="CL577" s="208"/>
      <c r="CM577" s="208"/>
    </row>
    <row r="578" spans="1:63" s="144" customFormat="1" ht="11.25" hidden="1">
      <c r="A578" s="144" t="s">
        <v>203</v>
      </c>
      <c r="B578" s="144">
        <v>1</v>
      </c>
      <c r="C578" s="144">
        <v>1</v>
      </c>
      <c r="D578" s="144">
        <v>2</v>
      </c>
      <c r="E578" s="144">
        <v>3</v>
      </c>
      <c r="F578" s="144">
        <v>4</v>
      </c>
      <c r="G578" s="144">
        <v>5</v>
      </c>
      <c r="H578" s="144">
        <v>6</v>
      </c>
      <c r="I578" s="144">
        <v>7</v>
      </c>
      <c r="J578" s="144">
        <v>8</v>
      </c>
      <c r="K578" s="144">
        <v>9</v>
      </c>
      <c r="L578" s="144">
        <v>10</v>
      </c>
      <c r="M578" s="144">
        <v>12</v>
      </c>
      <c r="N578" s="144">
        <v>13</v>
      </c>
      <c r="O578" s="144">
        <v>14</v>
      </c>
      <c r="P578" s="144">
        <v>16</v>
      </c>
      <c r="Q578" s="211">
        <v>18</v>
      </c>
      <c r="R578" s="212">
        <v>19</v>
      </c>
      <c r="S578" s="212">
        <v>21</v>
      </c>
      <c r="T578" s="212">
        <v>23</v>
      </c>
      <c r="U578" s="212">
        <v>25</v>
      </c>
      <c r="V578" s="211">
        <v>27</v>
      </c>
      <c r="W578" s="211">
        <v>30</v>
      </c>
      <c r="X578" s="212">
        <v>32</v>
      </c>
      <c r="Y578" s="211">
        <v>34</v>
      </c>
      <c r="Z578" s="211">
        <v>37</v>
      </c>
      <c r="AA578" s="211">
        <v>39</v>
      </c>
      <c r="AB578" s="211">
        <v>42</v>
      </c>
      <c r="AC578" s="211">
        <v>45</v>
      </c>
      <c r="AD578" s="211">
        <v>47</v>
      </c>
      <c r="AE578" s="211">
        <v>50</v>
      </c>
      <c r="AF578" s="211">
        <v>53</v>
      </c>
      <c r="AG578" s="211">
        <v>55</v>
      </c>
      <c r="AH578" s="211">
        <v>58</v>
      </c>
      <c r="AI578" s="211">
        <v>61</v>
      </c>
      <c r="AJ578" s="211">
        <v>63</v>
      </c>
      <c r="AK578" s="211">
        <v>66</v>
      </c>
      <c r="AL578" s="211">
        <v>68</v>
      </c>
      <c r="AM578" s="211">
        <v>70</v>
      </c>
      <c r="AN578" s="211">
        <v>73</v>
      </c>
      <c r="AO578" s="211">
        <v>75</v>
      </c>
      <c r="AP578" s="211">
        <v>77</v>
      </c>
      <c r="AQ578" s="211">
        <v>79</v>
      </c>
      <c r="AR578" s="211">
        <v>81</v>
      </c>
      <c r="AS578" s="211">
        <v>82</v>
      </c>
      <c r="AT578" s="211">
        <v>84</v>
      </c>
      <c r="AU578" s="211">
        <v>86</v>
      </c>
      <c r="AV578" s="211">
        <v>87</v>
      </c>
      <c r="AW578" s="211">
        <v>88</v>
      </c>
      <c r="AX578" s="211">
        <v>90</v>
      </c>
      <c r="AY578" s="211">
        <v>91</v>
      </c>
      <c r="AZ578" s="211">
        <v>92</v>
      </c>
      <c r="BA578" s="211">
        <v>93</v>
      </c>
      <c r="BB578" s="211">
        <v>94</v>
      </c>
      <c r="BC578" s="211">
        <v>95</v>
      </c>
      <c r="BD578" s="211">
        <v>96</v>
      </c>
      <c r="BE578" s="211">
        <v>97</v>
      </c>
      <c r="BF578" s="211">
        <v>98</v>
      </c>
      <c r="BG578" s="211">
        <v>99</v>
      </c>
      <c r="BH578" s="211"/>
      <c r="BI578" s="211"/>
      <c r="BJ578" s="211"/>
      <c r="BK578" s="211"/>
    </row>
    <row r="579" spans="1:63" s="144" customFormat="1" ht="11.25" hidden="1">
      <c r="A579" s="144" t="s">
        <v>204</v>
      </c>
      <c r="B579" s="144">
        <v>2</v>
      </c>
      <c r="C579" s="144">
        <v>3</v>
      </c>
      <c r="D579" s="144">
        <v>4</v>
      </c>
      <c r="E579" s="144">
        <v>5</v>
      </c>
      <c r="F579" s="144">
        <v>6</v>
      </c>
      <c r="G579" s="144">
        <v>7</v>
      </c>
      <c r="H579" s="144">
        <v>8</v>
      </c>
      <c r="I579" s="144">
        <v>9</v>
      </c>
      <c r="J579" s="144">
        <v>10</v>
      </c>
      <c r="K579" s="144">
        <v>11</v>
      </c>
      <c r="L579" s="144">
        <v>12</v>
      </c>
      <c r="M579" s="144">
        <v>13</v>
      </c>
      <c r="N579" s="144">
        <v>14</v>
      </c>
      <c r="O579" s="144">
        <v>15</v>
      </c>
      <c r="P579" s="144">
        <v>16</v>
      </c>
      <c r="Q579" s="211">
        <v>17</v>
      </c>
      <c r="R579" s="211">
        <v>18</v>
      </c>
      <c r="S579" s="211">
        <v>19</v>
      </c>
      <c r="T579" s="211">
        <v>20</v>
      </c>
      <c r="U579" s="212">
        <v>21</v>
      </c>
      <c r="V579" s="212">
        <v>22</v>
      </c>
      <c r="W579" s="212">
        <v>23</v>
      </c>
      <c r="X579" s="212">
        <v>24</v>
      </c>
      <c r="Y579" s="211">
        <v>25</v>
      </c>
      <c r="Z579" s="211">
        <v>26</v>
      </c>
      <c r="AA579" s="212">
        <v>27</v>
      </c>
      <c r="AB579" s="211">
        <v>28</v>
      </c>
      <c r="AC579" s="211">
        <v>29</v>
      </c>
      <c r="AD579" s="211">
        <v>30</v>
      </c>
      <c r="AE579" s="211">
        <v>31</v>
      </c>
      <c r="AF579" s="211">
        <v>32</v>
      </c>
      <c r="AG579" s="211">
        <v>33</v>
      </c>
      <c r="AH579" s="211">
        <v>34</v>
      </c>
      <c r="AI579" s="211">
        <v>35</v>
      </c>
      <c r="AJ579" s="211">
        <v>36</v>
      </c>
      <c r="AK579" s="211">
        <v>37</v>
      </c>
      <c r="AL579" s="211">
        <v>38</v>
      </c>
      <c r="AM579" s="211"/>
      <c r="AN579" s="211"/>
      <c r="AO579" s="211"/>
      <c r="AP579" s="211"/>
      <c r="AQ579" s="211"/>
      <c r="AR579" s="211"/>
      <c r="AS579" s="211"/>
      <c r="AT579" s="211"/>
      <c r="AU579" s="211"/>
      <c r="AV579" s="211"/>
      <c r="AW579" s="211"/>
      <c r="AX579" s="211"/>
      <c r="AY579" s="211"/>
      <c r="AZ579" s="211"/>
      <c r="BA579" s="211"/>
      <c r="BB579" s="211"/>
      <c r="BC579" s="211"/>
      <c r="BD579" s="211"/>
      <c r="BE579" s="211"/>
      <c r="BF579" s="211"/>
      <c r="BG579" s="211"/>
      <c r="BH579" s="211"/>
      <c r="BI579" s="211"/>
      <c r="BJ579" s="211"/>
      <c r="BK579" s="211"/>
    </row>
    <row r="580" spans="1:63" s="144" customFormat="1" ht="11.25" hidden="1">
      <c r="A580" s="144" t="s">
        <v>205</v>
      </c>
      <c r="B580" s="144">
        <v>50</v>
      </c>
      <c r="C580" s="144">
        <v>54</v>
      </c>
      <c r="D580" s="144">
        <v>58</v>
      </c>
      <c r="E580" s="144">
        <v>61</v>
      </c>
      <c r="F580" s="144">
        <v>64</v>
      </c>
      <c r="G580" s="144">
        <v>67</v>
      </c>
      <c r="H580" s="144">
        <v>70</v>
      </c>
      <c r="I580" s="144">
        <v>72</v>
      </c>
      <c r="J580" s="144">
        <v>75</v>
      </c>
      <c r="K580" s="144">
        <v>77</v>
      </c>
      <c r="L580" s="144">
        <v>80</v>
      </c>
      <c r="M580" s="144">
        <v>83</v>
      </c>
      <c r="N580" s="144">
        <v>86</v>
      </c>
      <c r="O580" s="144">
        <v>88</v>
      </c>
      <c r="P580" s="144">
        <v>91</v>
      </c>
      <c r="Q580" s="211">
        <v>93</v>
      </c>
      <c r="R580" s="211">
        <v>96</v>
      </c>
      <c r="S580" s="211">
        <v>99</v>
      </c>
      <c r="T580" s="211">
        <v>101</v>
      </c>
      <c r="U580" s="212">
        <v>104</v>
      </c>
      <c r="V580" s="212">
        <v>106</v>
      </c>
      <c r="W580" s="212">
        <v>109</v>
      </c>
      <c r="X580" s="212">
        <v>111</v>
      </c>
      <c r="Y580" s="211">
        <v>114</v>
      </c>
      <c r="Z580" s="211">
        <v>117</v>
      </c>
      <c r="AA580" s="212">
        <v>119</v>
      </c>
      <c r="AB580" s="211">
        <v>122</v>
      </c>
      <c r="AC580" s="211">
        <v>124</v>
      </c>
      <c r="AD580" s="211">
        <v>126</v>
      </c>
      <c r="AE580" s="211">
        <v>129</v>
      </c>
      <c r="AF580" s="211">
        <v>131</v>
      </c>
      <c r="AG580" s="211">
        <v>134</v>
      </c>
      <c r="AH580" s="211">
        <v>137</v>
      </c>
      <c r="AI580" s="211">
        <v>140</v>
      </c>
      <c r="AJ580" s="211">
        <v>143</v>
      </c>
      <c r="AK580" s="211">
        <v>146</v>
      </c>
      <c r="AL580" s="211">
        <v>150</v>
      </c>
      <c r="AM580" s="211"/>
      <c r="AN580" s="211"/>
      <c r="AO580" s="211"/>
      <c r="AP580" s="211"/>
      <c r="AQ580" s="211"/>
      <c r="AR580" s="211"/>
      <c r="AS580" s="211"/>
      <c r="AT580" s="211"/>
      <c r="AU580" s="211"/>
      <c r="AV580" s="211"/>
      <c r="AW580" s="211"/>
      <c r="AX580" s="211"/>
      <c r="AY580" s="211"/>
      <c r="AZ580" s="211"/>
      <c r="BA580" s="211"/>
      <c r="BB580" s="211"/>
      <c r="BC580" s="211"/>
      <c r="BD580" s="211"/>
      <c r="BE580" s="211"/>
      <c r="BF580" s="211"/>
      <c r="BG580" s="211"/>
      <c r="BH580" s="211"/>
      <c r="BI580" s="211"/>
      <c r="BJ580" s="211"/>
      <c r="BK580" s="211"/>
    </row>
    <row r="581" spans="1:63" s="144" customFormat="1" ht="11.25" hidden="1">
      <c r="A581" s="144" t="s">
        <v>206</v>
      </c>
      <c r="B581" s="144">
        <v>2</v>
      </c>
      <c r="C581" s="144">
        <v>3</v>
      </c>
      <c r="D581" s="144">
        <v>4</v>
      </c>
      <c r="E581" s="144">
        <v>5</v>
      </c>
      <c r="F581" s="144">
        <v>6</v>
      </c>
      <c r="G581" s="144">
        <v>7</v>
      </c>
      <c r="H581" s="144">
        <v>8</v>
      </c>
      <c r="I581" s="144">
        <v>9</v>
      </c>
      <c r="J581" s="144">
        <v>10</v>
      </c>
      <c r="K581" s="144">
        <v>11</v>
      </c>
      <c r="L581" s="144">
        <v>12</v>
      </c>
      <c r="M581" s="144">
        <v>13</v>
      </c>
      <c r="N581" s="144">
        <v>14</v>
      </c>
      <c r="O581" s="144">
        <v>15</v>
      </c>
      <c r="P581" s="144">
        <v>16</v>
      </c>
      <c r="Q581" s="211">
        <v>17</v>
      </c>
      <c r="R581" s="211">
        <v>18</v>
      </c>
      <c r="S581" s="211">
        <v>19</v>
      </c>
      <c r="T581" s="211">
        <v>20</v>
      </c>
      <c r="U581" s="212">
        <v>21</v>
      </c>
      <c r="V581" s="212">
        <v>22</v>
      </c>
      <c r="W581" s="212">
        <v>23</v>
      </c>
      <c r="X581" s="212">
        <v>24</v>
      </c>
      <c r="Y581" s="211">
        <v>25</v>
      </c>
      <c r="Z581" s="211">
        <v>26</v>
      </c>
      <c r="AA581" s="212">
        <v>27</v>
      </c>
      <c r="AB581" s="211">
        <v>28</v>
      </c>
      <c r="AC581" s="211">
        <v>29</v>
      </c>
      <c r="AD581" s="211">
        <v>30</v>
      </c>
      <c r="AE581" s="211">
        <v>31</v>
      </c>
      <c r="AF581" s="211">
        <v>32</v>
      </c>
      <c r="AG581" s="211">
        <v>33</v>
      </c>
      <c r="AH581" s="211">
        <v>34</v>
      </c>
      <c r="AI581" s="211">
        <v>35</v>
      </c>
      <c r="AJ581" s="211">
        <v>36</v>
      </c>
      <c r="AK581" s="211">
        <v>37</v>
      </c>
      <c r="AL581" s="211">
        <v>38</v>
      </c>
      <c r="AM581" s="211"/>
      <c r="AN581" s="211"/>
      <c r="AO581" s="211"/>
      <c r="AP581" s="211"/>
      <c r="AQ581" s="211"/>
      <c r="AR581" s="211"/>
      <c r="AS581" s="211"/>
      <c r="AT581" s="211"/>
      <c r="AU581" s="211"/>
      <c r="AV581" s="211"/>
      <c r="AW581" s="211"/>
      <c r="AX581" s="211"/>
      <c r="AY581" s="211"/>
      <c r="AZ581" s="211"/>
      <c r="BA581" s="211"/>
      <c r="BB581" s="211"/>
      <c r="BC581" s="211"/>
      <c r="BD581" s="211"/>
      <c r="BE581" s="211"/>
      <c r="BF581" s="211"/>
      <c r="BG581" s="211"/>
      <c r="BH581" s="211"/>
      <c r="BI581" s="211"/>
      <c r="BJ581" s="211"/>
      <c r="BK581" s="211"/>
    </row>
    <row r="582" spans="1:63" s="144" customFormat="1" ht="11.25" hidden="1">
      <c r="A582" s="144" t="s">
        <v>207</v>
      </c>
      <c r="B582" s="144">
        <v>50</v>
      </c>
      <c r="C582" s="144">
        <v>52</v>
      </c>
      <c r="D582" s="144">
        <v>55</v>
      </c>
      <c r="E582" s="144">
        <v>58</v>
      </c>
      <c r="F582" s="144">
        <v>61</v>
      </c>
      <c r="G582" s="144">
        <v>64</v>
      </c>
      <c r="H582" s="144">
        <v>67</v>
      </c>
      <c r="I582" s="144">
        <v>69</v>
      </c>
      <c r="J582" s="144">
        <v>72</v>
      </c>
      <c r="K582" s="144">
        <v>75</v>
      </c>
      <c r="L582" s="144">
        <v>78</v>
      </c>
      <c r="M582" s="144">
        <v>81</v>
      </c>
      <c r="N582" s="144">
        <v>84</v>
      </c>
      <c r="O582" s="144">
        <v>87</v>
      </c>
      <c r="P582" s="144">
        <v>90</v>
      </c>
      <c r="Q582" s="211">
        <v>93</v>
      </c>
      <c r="R582" s="211">
        <v>96</v>
      </c>
      <c r="S582" s="211">
        <v>98</v>
      </c>
      <c r="T582" s="211">
        <v>101</v>
      </c>
      <c r="U582" s="212">
        <v>104</v>
      </c>
      <c r="V582" s="212">
        <v>106</v>
      </c>
      <c r="W582" s="212">
        <v>109</v>
      </c>
      <c r="X582" s="212">
        <v>112</v>
      </c>
      <c r="Y582" s="211">
        <v>115</v>
      </c>
      <c r="Z582" s="211">
        <v>118</v>
      </c>
      <c r="AA582" s="212">
        <v>121</v>
      </c>
      <c r="AB582" s="211">
        <v>124</v>
      </c>
      <c r="AC582" s="211">
        <v>126</v>
      </c>
      <c r="AD582" s="211">
        <v>129</v>
      </c>
      <c r="AE582" s="211">
        <v>131</v>
      </c>
      <c r="AF582" s="211">
        <v>134</v>
      </c>
      <c r="AG582" s="211">
        <v>137</v>
      </c>
      <c r="AH582" s="211">
        <v>140</v>
      </c>
      <c r="AI582" s="211">
        <v>142</v>
      </c>
      <c r="AJ582" s="211">
        <v>145</v>
      </c>
      <c r="AK582" s="211">
        <v>148</v>
      </c>
      <c r="AL582" s="211">
        <v>150</v>
      </c>
      <c r="AM582" s="211"/>
      <c r="AN582" s="211"/>
      <c r="AO582" s="211"/>
      <c r="AP582" s="211"/>
      <c r="AQ582" s="211"/>
      <c r="AR582" s="211"/>
      <c r="AS582" s="211"/>
      <c r="AT582" s="211"/>
      <c r="AU582" s="211"/>
      <c r="AV582" s="211"/>
      <c r="AW582" s="211"/>
      <c r="AX582" s="211"/>
      <c r="AY582" s="211"/>
      <c r="AZ582" s="211"/>
      <c r="BA582" s="211"/>
      <c r="BB582" s="211"/>
      <c r="BC582" s="211"/>
      <c r="BD582" s="211"/>
      <c r="BE582" s="211"/>
      <c r="BF582" s="211"/>
      <c r="BG582" s="211"/>
      <c r="BH582" s="211"/>
      <c r="BI582" s="211"/>
      <c r="BJ582" s="211"/>
      <c r="BK582" s="211"/>
    </row>
    <row r="583" spans="1:69" s="144" customFormat="1" ht="11.25" hidden="1">
      <c r="A583" s="144" t="s">
        <v>208</v>
      </c>
      <c r="B583" s="144">
        <v>4</v>
      </c>
      <c r="C583" s="144">
        <v>7</v>
      </c>
      <c r="D583" s="144">
        <v>8</v>
      </c>
      <c r="E583" s="144">
        <v>9</v>
      </c>
      <c r="F583" s="144">
        <v>10</v>
      </c>
      <c r="G583" s="144">
        <v>11</v>
      </c>
      <c r="H583" s="144">
        <v>12</v>
      </c>
      <c r="I583" s="144">
        <v>13</v>
      </c>
      <c r="J583" s="144">
        <v>14</v>
      </c>
      <c r="K583" s="144">
        <v>15</v>
      </c>
      <c r="L583" s="144">
        <v>16</v>
      </c>
      <c r="M583" s="144">
        <v>17</v>
      </c>
      <c r="N583" s="144">
        <v>18</v>
      </c>
      <c r="O583" s="144">
        <v>19</v>
      </c>
      <c r="P583" s="144">
        <v>20</v>
      </c>
      <c r="Q583" s="212">
        <v>21</v>
      </c>
      <c r="R583" s="212">
        <v>22</v>
      </c>
      <c r="S583" s="212">
        <v>23</v>
      </c>
      <c r="T583" s="212">
        <v>24</v>
      </c>
      <c r="U583" s="211">
        <v>25</v>
      </c>
      <c r="V583" s="211">
        <v>26</v>
      </c>
      <c r="W583" s="212">
        <v>27</v>
      </c>
      <c r="X583" s="211">
        <v>28</v>
      </c>
      <c r="Y583" s="211">
        <v>29</v>
      </c>
      <c r="Z583" s="211">
        <v>30</v>
      </c>
      <c r="AA583" s="211">
        <v>31</v>
      </c>
      <c r="AB583" s="211">
        <v>32</v>
      </c>
      <c r="AC583" s="211">
        <v>33</v>
      </c>
      <c r="AD583" s="211">
        <v>34</v>
      </c>
      <c r="AE583" s="211">
        <v>35</v>
      </c>
      <c r="AF583" s="211">
        <v>36</v>
      </c>
      <c r="AG583" s="211">
        <v>37</v>
      </c>
      <c r="AH583" s="211">
        <v>38</v>
      </c>
      <c r="AI583" s="211">
        <v>39</v>
      </c>
      <c r="AJ583" s="211">
        <v>40</v>
      </c>
      <c r="AK583" s="211">
        <v>41</v>
      </c>
      <c r="AL583" s="211">
        <v>42</v>
      </c>
      <c r="AM583" s="211">
        <v>43</v>
      </c>
      <c r="AN583" s="211">
        <v>44</v>
      </c>
      <c r="AO583" s="211">
        <v>45</v>
      </c>
      <c r="AP583" s="211">
        <v>46</v>
      </c>
      <c r="AQ583" s="211">
        <v>47</v>
      </c>
      <c r="AR583" s="211">
        <v>48</v>
      </c>
      <c r="AS583" s="211">
        <v>49</v>
      </c>
      <c r="AT583" s="211">
        <v>50</v>
      </c>
      <c r="AU583" s="211">
        <v>51</v>
      </c>
      <c r="AV583" s="211">
        <v>52</v>
      </c>
      <c r="AW583" s="211">
        <v>53</v>
      </c>
      <c r="AX583" s="211">
        <v>54</v>
      </c>
      <c r="AY583" s="211">
        <v>55</v>
      </c>
      <c r="AZ583" s="211">
        <v>56</v>
      </c>
      <c r="BA583" s="211">
        <v>57</v>
      </c>
      <c r="BB583" s="211">
        <v>58</v>
      </c>
      <c r="BC583" s="211">
        <v>59</v>
      </c>
      <c r="BD583" s="211">
        <v>60</v>
      </c>
      <c r="BE583" s="211">
        <v>61</v>
      </c>
      <c r="BF583" s="211">
        <v>62</v>
      </c>
      <c r="BG583" s="211">
        <v>63</v>
      </c>
      <c r="BH583" s="211">
        <v>64</v>
      </c>
      <c r="BI583" s="211">
        <v>65</v>
      </c>
      <c r="BJ583" s="211">
        <v>66</v>
      </c>
      <c r="BK583" s="211">
        <v>67</v>
      </c>
      <c r="BL583" s="144">
        <v>68</v>
      </c>
      <c r="BM583" s="144">
        <v>69</v>
      </c>
      <c r="BN583" s="144">
        <v>70</v>
      </c>
      <c r="BO583" s="144">
        <v>71</v>
      </c>
      <c r="BP583" s="144">
        <v>72</v>
      </c>
      <c r="BQ583" s="144">
        <v>73</v>
      </c>
    </row>
    <row r="584" spans="1:69" s="144" customFormat="1" ht="11.25" hidden="1">
      <c r="A584" s="144" t="s">
        <v>209</v>
      </c>
      <c r="B584" s="144">
        <v>50</v>
      </c>
      <c r="C584" s="144">
        <v>51</v>
      </c>
      <c r="D584" s="144">
        <v>53</v>
      </c>
      <c r="E584" s="144">
        <v>54</v>
      </c>
      <c r="F584" s="144">
        <v>56</v>
      </c>
      <c r="G584" s="144">
        <v>57</v>
      </c>
      <c r="H584" s="144">
        <v>59</v>
      </c>
      <c r="I584" s="144">
        <v>60</v>
      </c>
      <c r="J584" s="144">
        <v>62</v>
      </c>
      <c r="K584" s="144">
        <v>64</v>
      </c>
      <c r="L584" s="144">
        <v>65</v>
      </c>
      <c r="M584" s="144">
        <v>67</v>
      </c>
      <c r="N584" s="144">
        <v>69</v>
      </c>
      <c r="O584" s="144">
        <v>70</v>
      </c>
      <c r="P584" s="144">
        <v>71</v>
      </c>
      <c r="Q584" s="212">
        <v>73</v>
      </c>
      <c r="R584" s="212">
        <v>75</v>
      </c>
      <c r="S584" s="212">
        <v>76</v>
      </c>
      <c r="T584" s="212">
        <v>77</v>
      </c>
      <c r="U584" s="211">
        <v>79</v>
      </c>
      <c r="V584" s="211">
        <v>80</v>
      </c>
      <c r="W584" s="212">
        <v>82</v>
      </c>
      <c r="X584" s="211">
        <v>83</v>
      </c>
      <c r="Y584" s="211">
        <v>85</v>
      </c>
      <c r="Z584" s="211">
        <v>86</v>
      </c>
      <c r="AA584" s="211">
        <v>87</v>
      </c>
      <c r="AB584" s="211">
        <v>89</v>
      </c>
      <c r="AC584" s="211">
        <v>90</v>
      </c>
      <c r="AD584" s="211">
        <v>91</v>
      </c>
      <c r="AE584" s="211">
        <v>93</v>
      </c>
      <c r="AF584" s="211">
        <v>94</v>
      </c>
      <c r="AG584" s="211">
        <v>96</v>
      </c>
      <c r="AH584" s="211">
        <v>97</v>
      </c>
      <c r="AI584" s="211">
        <v>99</v>
      </c>
      <c r="AJ584" s="211">
        <v>100</v>
      </c>
      <c r="AK584" s="211">
        <v>102</v>
      </c>
      <c r="AL584" s="211">
        <v>104</v>
      </c>
      <c r="AM584" s="211">
        <v>105</v>
      </c>
      <c r="AN584" s="211">
        <v>107</v>
      </c>
      <c r="AO584" s="211">
        <v>109</v>
      </c>
      <c r="AP584" s="211">
        <v>110</v>
      </c>
      <c r="AQ584" s="211">
        <v>111</v>
      </c>
      <c r="AR584" s="211">
        <v>113</v>
      </c>
      <c r="AS584" s="211">
        <v>114</v>
      </c>
      <c r="AT584" s="211">
        <v>116</v>
      </c>
      <c r="AU584" s="211">
        <v>117</v>
      </c>
      <c r="AV584" s="211">
        <v>119</v>
      </c>
      <c r="AW584" s="211">
        <v>120</v>
      </c>
      <c r="AX584" s="211">
        <v>122</v>
      </c>
      <c r="AY584" s="211">
        <v>123</v>
      </c>
      <c r="AZ584" s="211">
        <v>124</v>
      </c>
      <c r="BA584" s="211">
        <v>126</v>
      </c>
      <c r="BB584" s="211">
        <v>128</v>
      </c>
      <c r="BC584" s="211">
        <v>130</v>
      </c>
      <c r="BD584" s="211">
        <v>131</v>
      </c>
      <c r="BE584" s="211">
        <v>132</v>
      </c>
      <c r="BF584" s="211">
        <v>133</v>
      </c>
      <c r="BG584" s="211">
        <v>135</v>
      </c>
      <c r="BH584" s="211">
        <v>136</v>
      </c>
      <c r="BI584" s="211">
        <v>138</v>
      </c>
      <c r="BJ584" s="211">
        <v>139</v>
      </c>
      <c r="BK584" s="211">
        <v>141</v>
      </c>
      <c r="BL584" s="144">
        <v>142</v>
      </c>
      <c r="BM584" s="144">
        <v>144</v>
      </c>
      <c r="BN584" s="144">
        <v>145</v>
      </c>
      <c r="BO584" s="144">
        <v>147</v>
      </c>
      <c r="BP584" s="144">
        <v>148</v>
      </c>
      <c r="BQ584" s="144">
        <v>150</v>
      </c>
    </row>
    <row r="585" spans="1:73" s="144" customFormat="1" ht="11.25" hidden="1">
      <c r="A585" s="144" t="s">
        <v>210</v>
      </c>
      <c r="B585" s="144">
        <v>4</v>
      </c>
      <c r="C585" s="144">
        <v>5</v>
      </c>
      <c r="D585" s="144">
        <v>6</v>
      </c>
      <c r="E585" s="144">
        <v>7</v>
      </c>
      <c r="F585" s="144">
        <v>8</v>
      </c>
      <c r="G585" s="144">
        <v>9</v>
      </c>
      <c r="H585" s="144">
        <v>10</v>
      </c>
      <c r="I585" s="144">
        <v>11</v>
      </c>
      <c r="J585" s="144">
        <v>12</v>
      </c>
      <c r="K585" s="144">
        <v>13</v>
      </c>
      <c r="L585" s="144">
        <v>14</v>
      </c>
      <c r="M585" s="144">
        <v>15</v>
      </c>
      <c r="N585" s="144">
        <v>16</v>
      </c>
      <c r="O585" s="144">
        <v>17</v>
      </c>
      <c r="P585" s="144">
        <v>18</v>
      </c>
      <c r="Q585" s="211">
        <v>19</v>
      </c>
      <c r="R585" s="211">
        <v>20</v>
      </c>
      <c r="S585" s="212">
        <v>21</v>
      </c>
      <c r="T585" s="212">
        <v>22</v>
      </c>
      <c r="U585" s="212">
        <v>23</v>
      </c>
      <c r="V585" s="212">
        <v>24</v>
      </c>
      <c r="W585" s="211">
        <v>25</v>
      </c>
      <c r="X585" s="211">
        <v>26</v>
      </c>
      <c r="Y585" s="212">
        <v>27</v>
      </c>
      <c r="Z585" s="211">
        <v>28</v>
      </c>
      <c r="AA585" s="211">
        <v>29</v>
      </c>
      <c r="AB585" s="211">
        <v>30</v>
      </c>
      <c r="AC585" s="211">
        <v>31</v>
      </c>
      <c r="AD585" s="211">
        <v>32</v>
      </c>
      <c r="AE585" s="211">
        <v>33</v>
      </c>
      <c r="AF585" s="211">
        <v>34</v>
      </c>
      <c r="AG585" s="211">
        <v>35</v>
      </c>
      <c r="AH585" s="211">
        <v>36</v>
      </c>
      <c r="AI585" s="211">
        <v>37</v>
      </c>
      <c r="AJ585" s="211">
        <v>38</v>
      </c>
      <c r="AK585" s="211">
        <v>39</v>
      </c>
      <c r="AL585" s="211">
        <v>40</v>
      </c>
      <c r="AM585" s="211">
        <v>41</v>
      </c>
      <c r="AN585" s="211">
        <v>42</v>
      </c>
      <c r="AO585" s="211">
        <v>43</v>
      </c>
      <c r="AP585" s="211">
        <v>44</v>
      </c>
      <c r="AQ585" s="211">
        <v>45</v>
      </c>
      <c r="AR585" s="211">
        <v>46</v>
      </c>
      <c r="AS585" s="211">
        <v>47</v>
      </c>
      <c r="AT585" s="211">
        <v>48</v>
      </c>
      <c r="AU585" s="211">
        <v>49</v>
      </c>
      <c r="AV585" s="211">
        <v>50</v>
      </c>
      <c r="AW585" s="211">
        <v>51</v>
      </c>
      <c r="AX585" s="211">
        <v>52</v>
      </c>
      <c r="AY585" s="211">
        <v>53</v>
      </c>
      <c r="AZ585" s="211">
        <v>54</v>
      </c>
      <c r="BA585" s="211">
        <v>55</v>
      </c>
      <c r="BB585" s="211">
        <v>56</v>
      </c>
      <c r="BC585" s="211">
        <v>57</v>
      </c>
      <c r="BD585" s="211">
        <v>58</v>
      </c>
      <c r="BE585" s="211">
        <v>59</v>
      </c>
      <c r="BF585" s="211">
        <v>60</v>
      </c>
      <c r="BG585" s="211">
        <v>61</v>
      </c>
      <c r="BH585" s="211">
        <v>62</v>
      </c>
      <c r="BI585" s="211">
        <v>63</v>
      </c>
      <c r="BJ585" s="211">
        <v>64</v>
      </c>
      <c r="BK585" s="211">
        <v>65</v>
      </c>
      <c r="BL585" s="144">
        <v>66</v>
      </c>
      <c r="BM585" s="144">
        <v>67</v>
      </c>
      <c r="BN585" s="144">
        <v>68</v>
      </c>
      <c r="BO585" s="144">
        <v>69</v>
      </c>
      <c r="BP585" s="144">
        <v>70</v>
      </c>
      <c r="BQ585" s="144">
        <v>71</v>
      </c>
      <c r="BR585" s="144">
        <v>72</v>
      </c>
      <c r="BS585" s="144">
        <v>73</v>
      </c>
      <c r="BT585" s="144">
        <v>74</v>
      </c>
      <c r="BU585" s="144">
        <v>75</v>
      </c>
    </row>
    <row r="586" spans="1:73" s="144" customFormat="1" ht="11.25" hidden="1">
      <c r="A586" s="144" t="s">
        <v>211</v>
      </c>
      <c r="B586" s="144">
        <v>50</v>
      </c>
      <c r="C586" s="144">
        <v>52</v>
      </c>
      <c r="D586" s="144">
        <v>54</v>
      </c>
      <c r="E586" s="144">
        <v>56</v>
      </c>
      <c r="F586" s="144">
        <v>57</v>
      </c>
      <c r="G586" s="144">
        <v>59</v>
      </c>
      <c r="H586" s="144">
        <v>60</v>
      </c>
      <c r="I586" s="144">
        <v>61</v>
      </c>
      <c r="J586" s="144">
        <v>63</v>
      </c>
      <c r="K586" s="144">
        <v>64</v>
      </c>
      <c r="L586" s="144">
        <v>65</v>
      </c>
      <c r="M586" s="144">
        <v>67</v>
      </c>
      <c r="N586" s="144">
        <v>68</v>
      </c>
      <c r="O586" s="144">
        <v>69</v>
      </c>
      <c r="P586" s="144">
        <v>70</v>
      </c>
      <c r="Q586" s="211">
        <v>72</v>
      </c>
      <c r="R586" s="211">
        <v>73</v>
      </c>
      <c r="S586" s="212">
        <v>75</v>
      </c>
      <c r="T586" s="212">
        <v>76</v>
      </c>
      <c r="U586" s="212">
        <v>77</v>
      </c>
      <c r="V586" s="212">
        <v>79</v>
      </c>
      <c r="W586" s="211">
        <v>80</v>
      </c>
      <c r="X586" s="211">
        <v>81</v>
      </c>
      <c r="Y586" s="212">
        <v>83</v>
      </c>
      <c r="Z586" s="211">
        <v>84</v>
      </c>
      <c r="AA586" s="211">
        <v>85</v>
      </c>
      <c r="AB586" s="211">
        <v>87</v>
      </c>
      <c r="AC586" s="211">
        <v>88</v>
      </c>
      <c r="AD586" s="211">
        <v>89</v>
      </c>
      <c r="AE586" s="211">
        <v>91</v>
      </c>
      <c r="AF586" s="211">
        <v>92</v>
      </c>
      <c r="AG586" s="211">
        <v>93</v>
      </c>
      <c r="AH586" s="211">
        <v>95</v>
      </c>
      <c r="AI586" s="211">
        <v>96</v>
      </c>
      <c r="AJ586" s="211">
        <v>98</v>
      </c>
      <c r="AK586" s="211">
        <v>99</v>
      </c>
      <c r="AL586" s="211">
        <v>100</v>
      </c>
      <c r="AM586" s="211">
        <v>102</v>
      </c>
      <c r="AN586" s="211">
        <v>103</v>
      </c>
      <c r="AO586" s="211">
        <v>104</v>
      </c>
      <c r="AP586" s="211">
        <v>106</v>
      </c>
      <c r="AQ586" s="211">
        <v>107</v>
      </c>
      <c r="AR586" s="211">
        <v>108</v>
      </c>
      <c r="AS586" s="211">
        <v>110</v>
      </c>
      <c r="AT586" s="211">
        <v>111</v>
      </c>
      <c r="AU586" s="211">
        <v>113</v>
      </c>
      <c r="AV586" s="211">
        <v>114</v>
      </c>
      <c r="AW586" s="211">
        <v>116</v>
      </c>
      <c r="AX586" s="211">
        <v>117</v>
      </c>
      <c r="AY586" s="211">
        <v>118</v>
      </c>
      <c r="AZ586" s="211">
        <v>120</v>
      </c>
      <c r="BA586" s="211">
        <v>122</v>
      </c>
      <c r="BB586" s="211">
        <v>123</v>
      </c>
      <c r="BC586" s="211">
        <v>124</v>
      </c>
      <c r="BD586" s="211">
        <v>125</v>
      </c>
      <c r="BE586" s="211">
        <v>127</v>
      </c>
      <c r="BF586" s="211">
        <v>128</v>
      </c>
      <c r="BG586" s="211">
        <v>130</v>
      </c>
      <c r="BH586" s="211">
        <v>131</v>
      </c>
      <c r="BI586" s="211">
        <v>133</v>
      </c>
      <c r="BJ586" s="211">
        <v>134</v>
      </c>
      <c r="BK586" s="211">
        <v>136</v>
      </c>
      <c r="BL586" s="144">
        <v>137</v>
      </c>
      <c r="BM586" s="144">
        <v>139</v>
      </c>
      <c r="BN586" s="144">
        <v>140</v>
      </c>
      <c r="BO586" s="144">
        <v>141</v>
      </c>
      <c r="BP586" s="144">
        <v>143</v>
      </c>
      <c r="BQ586" s="144">
        <v>144</v>
      </c>
      <c r="BR586" s="144">
        <v>146</v>
      </c>
      <c r="BS586" s="144">
        <v>147</v>
      </c>
      <c r="BT586" s="144">
        <v>149</v>
      </c>
      <c r="BU586" s="144">
        <v>150</v>
      </c>
    </row>
    <row r="587" spans="1:63" s="144" customFormat="1" ht="11.25" hidden="1">
      <c r="A587" s="144" t="s">
        <v>212</v>
      </c>
      <c r="B587" s="144">
        <v>0</v>
      </c>
      <c r="C587" s="144">
        <v>1</v>
      </c>
      <c r="D587" s="144">
        <v>2</v>
      </c>
      <c r="E587" s="144">
        <v>3</v>
      </c>
      <c r="F587" s="144">
        <v>4</v>
      </c>
      <c r="G587" s="144">
        <v>5</v>
      </c>
      <c r="H587" s="144">
        <v>6</v>
      </c>
      <c r="I587" s="144">
        <v>7</v>
      </c>
      <c r="J587" s="144">
        <v>8</v>
      </c>
      <c r="K587" s="144">
        <v>9</v>
      </c>
      <c r="Q587" s="211"/>
      <c r="R587" s="211"/>
      <c r="S587" s="211"/>
      <c r="T587" s="211"/>
      <c r="U587" s="211"/>
      <c r="V587" s="212"/>
      <c r="W587" s="212"/>
      <c r="X587" s="212"/>
      <c r="Y587" s="212"/>
      <c r="Z587" s="211"/>
      <c r="AA587" s="211"/>
      <c r="AB587" s="212"/>
      <c r="AC587" s="211"/>
      <c r="AD587" s="211"/>
      <c r="AE587" s="211"/>
      <c r="AF587" s="211"/>
      <c r="AG587" s="211"/>
      <c r="AH587" s="211"/>
      <c r="AI587" s="211"/>
      <c r="AJ587" s="211"/>
      <c r="AK587" s="211"/>
      <c r="AL587" s="211"/>
      <c r="AM587" s="211"/>
      <c r="AN587" s="211"/>
      <c r="AO587" s="211"/>
      <c r="AP587" s="211"/>
      <c r="AQ587" s="211"/>
      <c r="AR587" s="211"/>
      <c r="AS587" s="211"/>
      <c r="AT587" s="211"/>
      <c r="AU587" s="211"/>
      <c r="AV587" s="211"/>
      <c r="AW587" s="211"/>
      <c r="AX587" s="211"/>
      <c r="AY587" s="211"/>
      <c r="AZ587" s="211"/>
      <c r="BA587" s="211"/>
      <c r="BB587" s="211"/>
      <c r="BC587" s="211"/>
      <c r="BD587" s="211"/>
      <c r="BE587" s="211"/>
      <c r="BF587" s="211"/>
      <c r="BG587" s="211"/>
      <c r="BH587" s="211"/>
      <c r="BI587" s="211"/>
      <c r="BJ587" s="211"/>
      <c r="BK587" s="211"/>
    </row>
    <row r="588" spans="1:63" s="144" customFormat="1" ht="11.25" hidden="1">
      <c r="A588" s="144" t="s">
        <v>213</v>
      </c>
      <c r="B588" s="144">
        <v>100</v>
      </c>
      <c r="C588" s="144">
        <v>100</v>
      </c>
      <c r="D588" s="144">
        <v>100</v>
      </c>
      <c r="E588" s="144">
        <v>100</v>
      </c>
      <c r="F588" s="144">
        <v>99</v>
      </c>
      <c r="G588" s="144">
        <v>83</v>
      </c>
      <c r="H588" s="144">
        <v>58</v>
      </c>
      <c r="I588" s="144">
        <v>31</v>
      </c>
      <c r="J588" s="144">
        <v>8</v>
      </c>
      <c r="K588" s="144">
        <v>2</v>
      </c>
      <c r="Q588" s="211"/>
      <c r="R588" s="211"/>
      <c r="S588" s="211"/>
      <c r="T588" s="211"/>
      <c r="U588" s="211"/>
      <c r="V588" s="212"/>
      <c r="W588" s="212"/>
      <c r="X588" s="212"/>
      <c r="Y588" s="212"/>
      <c r="Z588" s="211"/>
      <c r="AA588" s="211"/>
      <c r="AB588" s="212"/>
      <c r="AC588" s="211"/>
      <c r="AD588" s="211"/>
      <c r="AE588" s="211"/>
      <c r="AF588" s="211"/>
      <c r="AG588" s="211"/>
      <c r="AH588" s="211"/>
      <c r="AI588" s="211"/>
      <c r="AJ588" s="211"/>
      <c r="AK588" s="211"/>
      <c r="AL588" s="211"/>
      <c r="AM588" s="211"/>
      <c r="AN588" s="211"/>
      <c r="AO588" s="211"/>
      <c r="AP588" s="211"/>
      <c r="AQ588" s="211"/>
      <c r="AR588" s="211"/>
      <c r="AS588" s="211"/>
      <c r="AT588" s="211"/>
      <c r="AU588" s="211"/>
      <c r="AV588" s="211"/>
      <c r="AW588" s="211"/>
      <c r="AX588" s="211"/>
      <c r="AY588" s="211"/>
      <c r="AZ588" s="211"/>
      <c r="BA588" s="211"/>
      <c r="BB588" s="211"/>
      <c r="BC588" s="211"/>
      <c r="BD588" s="211"/>
      <c r="BE588" s="211"/>
      <c r="BF588" s="211"/>
      <c r="BG588" s="211"/>
      <c r="BH588" s="211"/>
      <c r="BI588" s="211"/>
      <c r="BJ588" s="211"/>
      <c r="BK588" s="211"/>
    </row>
    <row r="589" spans="1:63" s="144" customFormat="1" ht="11.25" hidden="1">
      <c r="A589" s="144" t="s">
        <v>214</v>
      </c>
      <c r="B589" s="144">
        <v>100</v>
      </c>
      <c r="C589" s="144">
        <v>100</v>
      </c>
      <c r="D589" s="144">
        <v>99</v>
      </c>
      <c r="E589" s="144">
        <v>91</v>
      </c>
      <c r="F589" s="144">
        <v>61</v>
      </c>
      <c r="G589" s="144">
        <v>31</v>
      </c>
      <c r="H589" s="144">
        <v>14</v>
      </c>
      <c r="I589" s="144">
        <v>5</v>
      </c>
      <c r="J589" s="144">
        <v>2</v>
      </c>
      <c r="K589" s="144">
        <v>1</v>
      </c>
      <c r="Q589" s="211"/>
      <c r="R589" s="211"/>
      <c r="S589" s="211"/>
      <c r="T589" s="211"/>
      <c r="U589" s="211"/>
      <c r="V589" s="212"/>
      <c r="W589" s="212"/>
      <c r="X589" s="212"/>
      <c r="Y589" s="212"/>
      <c r="Z589" s="211"/>
      <c r="AA589" s="211"/>
      <c r="AB589" s="212"/>
      <c r="AC589" s="211"/>
      <c r="AD589" s="211"/>
      <c r="AE589" s="211"/>
      <c r="AF589" s="211"/>
      <c r="AG589" s="211"/>
      <c r="AH589" s="211"/>
      <c r="AI589" s="211"/>
      <c r="AJ589" s="211"/>
      <c r="AK589" s="211"/>
      <c r="AL589" s="211"/>
      <c r="AM589" s="211"/>
      <c r="AN589" s="211"/>
      <c r="AO589" s="211"/>
      <c r="AP589" s="211"/>
      <c r="AQ589" s="211"/>
      <c r="AR589" s="211"/>
      <c r="AS589" s="211"/>
      <c r="AT589" s="211"/>
      <c r="AU589" s="211"/>
      <c r="AV589" s="211"/>
      <c r="AW589" s="211"/>
      <c r="AX589" s="211"/>
      <c r="AY589" s="211"/>
      <c r="AZ589" s="211"/>
      <c r="BA589" s="211"/>
      <c r="BB589" s="211"/>
      <c r="BC589" s="211"/>
      <c r="BD589" s="211"/>
      <c r="BE589" s="211"/>
      <c r="BF589" s="211"/>
      <c r="BG589" s="211"/>
      <c r="BH589" s="211"/>
      <c r="BI589" s="211"/>
      <c r="BJ589" s="211"/>
      <c r="BK589" s="211"/>
    </row>
    <row r="590" spans="1:63" s="144" customFormat="1" ht="11.25" hidden="1">
      <c r="A590" s="144" t="s">
        <v>215</v>
      </c>
      <c r="B590" s="144">
        <v>6</v>
      </c>
      <c r="C590" s="144">
        <v>7</v>
      </c>
      <c r="D590" s="144">
        <v>8</v>
      </c>
      <c r="E590" s="144">
        <v>9</v>
      </c>
      <c r="F590" s="144">
        <v>10</v>
      </c>
      <c r="G590" s="144">
        <v>11</v>
      </c>
      <c r="H590" s="144">
        <v>12</v>
      </c>
      <c r="I590" s="144">
        <v>13</v>
      </c>
      <c r="J590" s="144">
        <v>14</v>
      </c>
      <c r="K590" s="144">
        <v>15</v>
      </c>
      <c r="L590" s="144">
        <v>16</v>
      </c>
      <c r="Q590" s="211"/>
      <c r="R590" s="211"/>
      <c r="S590" s="211"/>
      <c r="T590" s="211"/>
      <c r="U590" s="211"/>
      <c r="V590" s="212"/>
      <c r="W590" s="212"/>
      <c r="X590" s="212"/>
      <c r="Y590" s="212"/>
      <c r="Z590" s="211"/>
      <c r="AA590" s="211"/>
      <c r="AB590" s="212"/>
      <c r="AC590" s="211"/>
      <c r="AD590" s="211"/>
      <c r="AE590" s="211"/>
      <c r="AF590" s="211"/>
      <c r="AG590" s="211"/>
      <c r="AH590" s="211"/>
      <c r="AI590" s="211"/>
      <c r="AJ590" s="211"/>
      <c r="AK590" s="211"/>
      <c r="AL590" s="211"/>
      <c r="AM590" s="211"/>
      <c r="AN590" s="211"/>
      <c r="AO590" s="211"/>
      <c r="AP590" s="211"/>
      <c r="AQ590" s="211"/>
      <c r="AR590" s="211"/>
      <c r="AS590" s="211"/>
      <c r="AT590" s="211"/>
      <c r="AU590" s="211"/>
      <c r="AV590" s="211"/>
      <c r="AW590" s="211"/>
      <c r="AX590" s="211"/>
      <c r="AY590" s="211"/>
      <c r="AZ590" s="211"/>
      <c r="BA590" s="211"/>
      <c r="BB590" s="211"/>
      <c r="BC590" s="211"/>
      <c r="BD590" s="211"/>
      <c r="BE590" s="211"/>
      <c r="BF590" s="211"/>
      <c r="BG590" s="211"/>
      <c r="BH590" s="211"/>
      <c r="BI590" s="211"/>
      <c r="BJ590" s="211"/>
      <c r="BK590" s="211"/>
    </row>
    <row r="591" spans="1:63" s="144" customFormat="1" ht="11.25" hidden="1">
      <c r="A591" s="144" t="s">
        <v>216</v>
      </c>
      <c r="B591" s="144">
        <v>5</v>
      </c>
      <c r="C591" s="144">
        <v>5</v>
      </c>
      <c r="D591" s="144">
        <v>5</v>
      </c>
      <c r="E591" s="144">
        <v>6</v>
      </c>
      <c r="F591" s="144">
        <v>6</v>
      </c>
      <c r="G591" s="144">
        <v>6</v>
      </c>
      <c r="H591" s="144">
        <v>6</v>
      </c>
      <c r="I591" s="144">
        <v>6</v>
      </c>
      <c r="J591" s="144">
        <v>6</v>
      </c>
      <c r="K591" s="144">
        <v>7</v>
      </c>
      <c r="L591" s="144">
        <v>7</v>
      </c>
      <c r="Q591" s="211"/>
      <c r="R591" s="211"/>
      <c r="S591" s="211"/>
      <c r="T591" s="211"/>
      <c r="U591" s="211"/>
      <c r="V591" s="212"/>
      <c r="W591" s="212"/>
      <c r="X591" s="212"/>
      <c r="Y591" s="212"/>
      <c r="Z591" s="211"/>
      <c r="AA591" s="211"/>
      <c r="AB591" s="212"/>
      <c r="AC591" s="211"/>
      <c r="AD591" s="211"/>
      <c r="AE591" s="211"/>
      <c r="AF591" s="211"/>
      <c r="AG591" s="211"/>
      <c r="AH591" s="211"/>
      <c r="AI591" s="211"/>
      <c r="AJ591" s="211"/>
      <c r="AK591" s="211"/>
      <c r="AL591" s="211"/>
      <c r="AM591" s="211"/>
      <c r="AN591" s="211"/>
      <c r="AO591" s="211"/>
      <c r="AP591" s="211"/>
      <c r="AQ591" s="211"/>
      <c r="AR591" s="211"/>
      <c r="AS591" s="211"/>
      <c r="AT591" s="211"/>
      <c r="AU591" s="211"/>
      <c r="AV591" s="211"/>
      <c r="AW591" s="211"/>
      <c r="AX591" s="211"/>
      <c r="AY591" s="211"/>
      <c r="AZ591" s="211"/>
      <c r="BA591" s="211"/>
      <c r="BB591" s="211"/>
      <c r="BC591" s="211"/>
      <c r="BD591" s="211"/>
      <c r="BE591" s="211"/>
      <c r="BF591" s="211"/>
      <c r="BG591" s="211"/>
      <c r="BH591" s="211"/>
      <c r="BI591" s="211"/>
      <c r="BJ591" s="211"/>
      <c r="BK591" s="211"/>
    </row>
    <row r="592" spans="1:63" s="144" customFormat="1" ht="11.25" hidden="1">
      <c r="A592" s="144" t="s">
        <v>217</v>
      </c>
      <c r="B592" s="144">
        <v>3</v>
      </c>
      <c r="C592" s="144">
        <v>3</v>
      </c>
      <c r="D592" s="144">
        <v>3</v>
      </c>
      <c r="E592" s="144">
        <v>4</v>
      </c>
      <c r="F592" s="144">
        <v>4</v>
      </c>
      <c r="G592" s="144">
        <v>4</v>
      </c>
      <c r="H592" s="144">
        <v>4</v>
      </c>
      <c r="I592" s="144">
        <v>4</v>
      </c>
      <c r="J592" s="144">
        <v>5</v>
      </c>
      <c r="K592" s="144">
        <v>5</v>
      </c>
      <c r="L592" s="144">
        <v>5</v>
      </c>
      <c r="Q592" s="211"/>
      <c r="R592" s="211"/>
      <c r="S592" s="211"/>
      <c r="T592" s="211"/>
      <c r="U592" s="211"/>
      <c r="V592" s="212"/>
      <c r="W592" s="212"/>
      <c r="X592" s="212"/>
      <c r="Y592" s="212"/>
      <c r="Z592" s="211"/>
      <c r="AA592" s="211"/>
      <c r="AB592" s="212"/>
      <c r="AC592" s="211"/>
      <c r="AD592" s="211"/>
      <c r="AE592" s="211"/>
      <c r="AF592" s="211"/>
      <c r="AG592" s="211"/>
      <c r="AH592" s="211"/>
      <c r="AI592" s="211"/>
      <c r="AJ592" s="211"/>
      <c r="AK592" s="211"/>
      <c r="AL592" s="211"/>
      <c r="AM592" s="211"/>
      <c r="AN592" s="211"/>
      <c r="AO592" s="211"/>
      <c r="AP592" s="211"/>
      <c r="AQ592" s="211"/>
      <c r="AR592" s="211"/>
      <c r="AS592" s="211"/>
      <c r="AT592" s="211"/>
      <c r="AU592" s="211"/>
      <c r="AV592" s="211"/>
      <c r="AW592" s="211"/>
      <c r="AX592" s="211"/>
      <c r="AY592" s="211"/>
      <c r="AZ592" s="211"/>
      <c r="BA592" s="211"/>
      <c r="BB592" s="211"/>
      <c r="BC592" s="211"/>
      <c r="BD592" s="211"/>
      <c r="BE592" s="211"/>
      <c r="BF592" s="211"/>
      <c r="BG592" s="211"/>
      <c r="BH592" s="211"/>
      <c r="BI592" s="211"/>
      <c r="BJ592" s="211"/>
      <c r="BK592" s="211"/>
    </row>
    <row r="593" spans="17:63" s="144" customFormat="1" ht="11.25" hidden="1">
      <c r="Q593" s="211"/>
      <c r="R593" s="211"/>
      <c r="S593" s="211"/>
      <c r="T593" s="211"/>
      <c r="U593" s="211"/>
      <c r="V593" s="212"/>
      <c r="W593" s="212"/>
      <c r="X593" s="212"/>
      <c r="Y593" s="212"/>
      <c r="Z593" s="211"/>
      <c r="AA593" s="211"/>
      <c r="AB593" s="212"/>
      <c r="AC593" s="211"/>
      <c r="AD593" s="211"/>
      <c r="AE593" s="211"/>
      <c r="AF593" s="211"/>
      <c r="AG593" s="211"/>
      <c r="AH593" s="211"/>
      <c r="AI593" s="211"/>
      <c r="AJ593" s="211"/>
      <c r="AK593" s="211"/>
      <c r="AL593" s="211"/>
      <c r="AM593" s="211"/>
      <c r="AN593" s="211"/>
      <c r="AO593" s="211"/>
      <c r="AP593" s="211"/>
      <c r="AQ593" s="211"/>
      <c r="AR593" s="211"/>
      <c r="AS593" s="211"/>
      <c r="AT593" s="211"/>
      <c r="AU593" s="211"/>
      <c r="AV593" s="211"/>
      <c r="AW593" s="211"/>
      <c r="AX593" s="211"/>
      <c r="AY593" s="211"/>
      <c r="AZ593" s="211"/>
      <c r="BA593" s="211"/>
      <c r="BB593" s="211"/>
      <c r="BC593" s="211"/>
      <c r="BD593" s="211"/>
      <c r="BE593" s="211"/>
      <c r="BF593" s="211"/>
      <c r="BG593" s="211"/>
      <c r="BH593" s="211"/>
      <c r="BI593" s="211"/>
      <c r="BJ593" s="211"/>
      <c r="BK593" s="211"/>
    </row>
  </sheetData>
  <sheetProtection password="8D61" sheet="1" objects="1" scenarios="1" selectLockedCells="1"/>
  <mergeCells count="112">
    <mergeCell ref="A1:M1"/>
    <mergeCell ref="K23:M33"/>
    <mergeCell ref="G212:H212"/>
    <mergeCell ref="G155:H155"/>
    <mergeCell ref="G156:H156"/>
    <mergeCell ref="G157:H157"/>
    <mergeCell ref="G138:H138"/>
    <mergeCell ref="G139:H139"/>
    <mergeCell ref="G131:H131"/>
    <mergeCell ref="G132:H132"/>
    <mergeCell ref="A60:A118"/>
    <mergeCell ref="G102:H102"/>
    <mergeCell ref="G103:H103"/>
    <mergeCell ref="G105:H105"/>
    <mergeCell ref="G95:H95"/>
    <mergeCell ref="G77:H77"/>
    <mergeCell ref="G78:H78"/>
    <mergeCell ref="G80:H80"/>
    <mergeCell ref="G94:H94"/>
    <mergeCell ref="G62:H62"/>
    <mergeCell ref="G149:H149"/>
    <mergeCell ref="G111:H111"/>
    <mergeCell ref="G112:H112"/>
    <mergeCell ref="G113:H113"/>
    <mergeCell ref="G114:H114"/>
    <mergeCell ref="G140:H140"/>
    <mergeCell ref="G141:H141"/>
    <mergeCell ref="G136:H136"/>
    <mergeCell ref="G63:H63"/>
    <mergeCell ref="F43:G43"/>
    <mergeCell ref="F49:G49"/>
    <mergeCell ref="F50:G50"/>
    <mergeCell ref="F57:G57"/>
    <mergeCell ref="F47:G47"/>
    <mergeCell ref="F46:G46"/>
    <mergeCell ref="G60:H60"/>
    <mergeCell ref="F53:G53"/>
    <mergeCell ref="F55:G55"/>
    <mergeCell ref="F24:G24"/>
    <mergeCell ref="F36:G36"/>
    <mergeCell ref="F34:G34"/>
    <mergeCell ref="F35:G35"/>
    <mergeCell ref="F32:G32"/>
    <mergeCell ref="F30:G30"/>
    <mergeCell ref="H22:I22"/>
    <mergeCell ref="G71:H71"/>
    <mergeCell ref="F39:G39"/>
    <mergeCell ref="F40:G40"/>
    <mergeCell ref="F42:G42"/>
    <mergeCell ref="F44:G44"/>
    <mergeCell ref="G70:H70"/>
    <mergeCell ref="G69:H69"/>
    <mergeCell ref="F54:G54"/>
    <mergeCell ref="F33:G33"/>
    <mergeCell ref="G213:H213"/>
    <mergeCell ref="B3:F3"/>
    <mergeCell ref="F22:G22"/>
    <mergeCell ref="F23:G23"/>
    <mergeCell ref="F31:G31"/>
    <mergeCell ref="B6:K6"/>
    <mergeCell ref="H29:I29"/>
    <mergeCell ref="F29:G29"/>
    <mergeCell ref="H23:I23"/>
    <mergeCell ref="F37:G37"/>
    <mergeCell ref="G67:H67"/>
    <mergeCell ref="G75:H75"/>
    <mergeCell ref="G84:H84"/>
    <mergeCell ref="G92:H92"/>
    <mergeCell ref="G86:H86"/>
    <mergeCell ref="G87:H87"/>
    <mergeCell ref="G88:H88"/>
    <mergeCell ref="G79:H79"/>
    <mergeCell ref="G210:H210"/>
    <mergeCell ref="G161:H161"/>
    <mergeCell ref="G163:H163"/>
    <mergeCell ref="G164:H164"/>
    <mergeCell ref="G168:H168"/>
    <mergeCell ref="G170:H170"/>
    <mergeCell ref="G171:H171"/>
    <mergeCell ref="G191:H191"/>
    <mergeCell ref="G175:H175"/>
    <mergeCell ref="G177:H177"/>
    <mergeCell ref="G100:H100"/>
    <mergeCell ref="G109:H109"/>
    <mergeCell ref="F38:G38"/>
    <mergeCell ref="F41:G41"/>
    <mergeCell ref="F51:G51"/>
    <mergeCell ref="F52:G52"/>
    <mergeCell ref="F48:G48"/>
    <mergeCell ref="F45:G45"/>
    <mergeCell ref="F56:G56"/>
    <mergeCell ref="G104:H104"/>
    <mergeCell ref="A120:A158"/>
    <mergeCell ref="A160:A213"/>
    <mergeCell ref="G193:H193"/>
    <mergeCell ref="G196:H196"/>
    <mergeCell ref="G198:H198"/>
    <mergeCell ref="G199:H199"/>
    <mergeCell ref="G184:H184"/>
    <mergeCell ref="G185:H185"/>
    <mergeCell ref="G178:H178"/>
    <mergeCell ref="G182:H182"/>
    <mergeCell ref="G192:H192"/>
    <mergeCell ref="G189:H189"/>
    <mergeCell ref="G122:H122"/>
    <mergeCell ref="G129:H129"/>
    <mergeCell ref="G145:H145"/>
    <mergeCell ref="G153:H153"/>
    <mergeCell ref="G124:H124"/>
    <mergeCell ref="G125:H125"/>
    <mergeCell ref="G147:H147"/>
    <mergeCell ref="G148:H148"/>
  </mergeCells>
  <printOptions horizontalCentered="1" verticalCentered="1"/>
  <pageMargins left="0" right="0" top="0" bottom="0" header="0.5" footer="0.5"/>
  <pageSetup fitToHeight="3" horizontalDpi="300" verticalDpi="300" orientation="landscape" scale="90" r:id="rId3"/>
  <headerFooter alignWithMargins="0">
    <oddHeader>&amp;C&amp;"Geneva,Bold"&amp;20WJ III™  Computer Template © 2001</oddHeader>
    <oddFooter>&amp;L&amp;8Woodcock-Johnson III by Richard W. Woodcock, Kevin S. McGrew, and Nancy Mather © Riverside Publishing, 2001.
All rights Reserved&amp;R&amp;8Page  &amp;P   
Template created by Ron Dumont and John Willis</oddFooter>
  </headerFooter>
  <rowBreaks count="7" manualBreakCount="7">
    <brk id="59" max="255" man="1"/>
    <brk id="118" max="12" man="1"/>
    <brk id="158" max="255" man="1"/>
    <brk id="217" max="255" man="1"/>
    <brk id="228" max="65535" man="1"/>
    <brk id="277" max="65535" man="1"/>
    <brk id="382" max="65535" man="1"/>
  </rowBreaks>
  <drawing r:id="rId2"/>
  <legacyDrawing r:id="rId1"/>
</worksheet>
</file>

<file path=xl/worksheets/sheet3.xml><?xml version="1.0" encoding="utf-8"?>
<worksheet xmlns="http://schemas.openxmlformats.org/spreadsheetml/2006/main" xmlns:r="http://schemas.openxmlformats.org/officeDocument/2006/relationships">
  <dimension ref="A2:AB28"/>
  <sheetViews>
    <sheetView showGridLines="0" zoomScalePageLayoutView="0" workbookViewId="0" topLeftCell="A4">
      <selection activeCell="C4" sqref="C4:E4"/>
    </sheetView>
  </sheetViews>
  <sheetFormatPr defaultColWidth="9.00390625" defaultRowHeight="12.75"/>
  <cols>
    <col min="1" max="1" width="25.125" style="0" customWidth="1"/>
    <col min="2" max="2" width="1.75390625" style="0" customWidth="1"/>
    <col min="4" max="4" width="1.75390625" style="0" customWidth="1"/>
    <col min="6" max="6" width="1.75390625" style="0" customWidth="1"/>
    <col min="8" max="8" width="1.75390625" style="0" customWidth="1"/>
    <col min="10" max="10" width="1.75390625" style="0" customWidth="1"/>
    <col min="11" max="11" width="9.875" style="0" customWidth="1"/>
    <col min="12" max="12" width="1.75390625" style="0" customWidth="1"/>
    <col min="13" max="13" width="10.75390625" style="0" customWidth="1"/>
    <col min="15" max="15" width="2.75390625" style="0" hidden="1" customWidth="1"/>
    <col min="16" max="28" width="4.375" style="0" hidden="1" customWidth="1"/>
    <col min="29" max="29" width="0" style="0" hidden="1" customWidth="1"/>
  </cols>
  <sheetData>
    <row r="2" spans="1:13" ht="15">
      <c r="A2" s="246" t="s">
        <v>619</v>
      </c>
      <c r="B2" s="246"/>
      <c r="C2" s="246"/>
      <c r="D2" s="246"/>
      <c r="E2" s="246"/>
      <c r="F2" s="246"/>
      <c r="G2" s="246"/>
      <c r="H2" s="246"/>
      <c r="I2" s="246"/>
      <c r="J2" s="246"/>
      <c r="K2" s="246"/>
      <c r="L2" s="246"/>
      <c r="M2" s="246"/>
    </row>
    <row r="4" spans="1:15" ht="12.75">
      <c r="A4" s="61" t="s">
        <v>620</v>
      </c>
      <c r="C4" s="245">
        <f>'WJ III COG'!B3</f>
        <v>0</v>
      </c>
      <c r="D4" s="245"/>
      <c r="E4" s="245"/>
      <c r="G4" s="61" t="s">
        <v>621</v>
      </c>
      <c r="I4" s="201">
        <f>Age</f>
        <v>0</v>
      </c>
      <c r="O4" s="1">
        <f>IF(I4&lt;9,1,IF(AND(I4&gt;8,I4&lt;14),2,IF(I4&gt;20,4,3)))</f>
        <v>1</v>
      </c>
    </row>
    <row r="5" spans="1:28" ht="12.75">
      <c r="A5" s="188"/>
      <c r="C5" s="136"/>
      <c r="O5" s="136">
        <v>0</v>
      </c>
      <c r="P5" s="136">
        <v>0.67</v>
      </c>
      <c r="Q5" s="136">
        <v>1.04</v>
      </c>
      <c r="R5" s="136">
        <v>1.28</v>
      </c>
      <c r="S5" s="136">
        <v>1.34</v>
      </c>
      <c r="T5" s="136">
        <v>1.14</v>
      </c>
      <c r="U5" s="136">
        <v>1.48</v>
      </c>
      <c r="V5" s="136">
        <v>1.56</v>
      </c>
      <c r="W5" s="136">
        <v>1.64</v>
      </c>
      <c r="X5" s="136">
        <v>1.75</v>
      </c>
      <c r="Y5" s="136">
        <v>1.88</v>
      </c>
      <c r="Z5" s="136">
        <v>2.05</v>
      </c>
      <c r="AA5" s="136">
        <v>2.33</v>
      </c>
      <c r="AB5" s="136">
        <v>2.57</v>
      </c>
    </row>
    <row r="6" spans="5:28" ht="12.75">
      <c r="E6" s="61" t="s">
        <v>671</v>
      </c>
      <c r="F6" s="1"/>
      <c r="G6" s="201">
        <f>'WJ III COG'!C24</f>
        <v>105</v>
      </c>
      <c r="O6" s="136">
        <v>50</v>
      </c>
      <c r="P6" s="136">
        <v>25</v>
      </c>
      <c r="Q6" s="136">
        <v>15</v>
      </c>
      <c r="R6" s="136">
        <v>10</v>
      </c>
      <c r="S6" s="136">
        <v>9</v>
      </c>
      <c r="T6" s="136">
        <v>8</v>
      </c>
      <c r="U6" s="136">
        <v>7</v>
      </c>
      <c r="V6" s="136">
        <v>6</v>
      </c>
      <c r="W6" s="136">
        <v>5</v>
      </c>
      <c r="X6" s="136">
        <v>4</v>
      </c>
      <c r="Y6" s="136">
        <v>3</v>
      </c>
      <c r="Z6" s="136">
        <v>2</v>
      </c>
      <c r="AA6" s="136">
        <v>1</v>
      </c>
      <c r="AB6" s="136" t="s">
        <v>631</v>
      </c>
    </row>
    <row r="7" spans="1:13" ht="12.75">
      <c r="A7" s="188"/>
      <c r="B7" s="1"/>
      <c r="C7" s="136"/>
      <c r="F7" s="1"/>
      <c r="H7" s="1"/>
      <c r="J7" s="1"/>
      <c r="K7" s="1"/>
      <c r="L7" s="1"/>
      <c r="M7" s="1"/>
    </row>
    <row r="8" spans="1:13" ht="45">
      <c r="A8" s="1"/>
      <c r="B8" s="1"/>
      <c r="C8" s="190" t="s">
        <v>622</v>
      </c>
      <c r="D8" s="190"/>
      <c r="E8" s="190" t="s">
        <v>623</v>
      </c>
      <c r="F8" s="190"/>
      <c r="G8" s="190" t="s">
        <v>624</v>
      </c>
      <c r="H8" s="190"/>
      <c r="I8" s="190" t="s">
        <v>625</v>
      </c>
      <c r="J8" s="190"/>
      <c r="K8" s="190" t="s">
        <v>626</v>
      </c>
      <c r="L8" s="189"/>
      <c r="M8" s="190" t="s">
        <v>630</v>
      </c>
    </row>
    <row r="10" spans="1:13" ht="12.75">
      <c r="A10" s="27" t="s">
        <v>273</v>
      </c>
      <c r="C10" s="201">
        <f>'WJ III COG'!C35</f>
        <v>115</v>
      </c>
      <c r="D10" s="204" t="s">
        <v>627</v>
      </c>
      <c r="E10" s="199">
        <f>15*(CHOOSE(O4,0.74,0.76,0.78,0.79)*((G6-100)/15))+100</f>
        <v>103.7</v>
      </c>
      <c r="F10" s="205" t="s">
        <v>628</v>
      </c>
      <c r="G10" s="199">
        <f>C10-E10</f>
        <v>11.299999999999997</v>
      </c>
      <c r="H10" s="204" t="s">
        <v>629</v>
      </c>
      <c r="I10" s="206">
        <f>15*SQRT(1-(CHOOSE(O4,0.74,0.76,0.78,0.79)^2))</f>
        <v>10.089103032480143</v>
      </c>
      <c r="J10" s="205" t="s">
        <v>628</v>
      </c>
      <c r="K10" s="200">
        <f>G10/I10</f>
        <v>1.1200202796642653</v>
      </c>
      <c r="L10" s="65"/>
      <c r="M10" s="201">
        <f>LOOKUP(ABS(K10),O5:AB6)</f>
        <v>15</v>
      </c>
    </row>
    <row r="11" spans="3:13" ht="12.75">
      <c r="C11" s="201"/>
      <c r="D11" s="204"/>
      <c r="E11" s="199"/>
      <c r="F11" s="204"/>
      <c r="G11" s="199"/>
      <c r="H11" s="204"/>
      <c r="I11" s="206"/>
      <c r="J11" s="204"/>
      <c r="K11" s="65"/>
      <c r="L11" s="65"/>
      <c r="M11" s="201"/>
    </row>
    <row r="12" spans="1:13" ht="12.75">
      <c r="A12" s="19" t="s">
        <v>45</v>
      </c>
      <c r="C12" s="199">
        <f>'WJ III COG'!C36</f>
        <v>83</v>
      </c>
      <c r="D12" s="204" t="s">
        <v>627</v>
      </c>
      <c r="E12" s="199">
        <f>15*(CHOOSE(O4,0.73,0.68,0.74,0.78)*((G6-100)/15))+100</f>
        <v>103.65</v>
      </c>
      <c r="F12" s="205" t="s">
        <v>628</v>
      </c>
      <c r="G12" s="199">
        <f>C12-E12</f>
        <v>-20.650000000000006</v>
      </c>
      <c r="H12" s="204" t="s">
        <v>629</v>
      </c>
      <c r="I12" s="206">
        <f>15*SQRT(1-(CHOOSE(O4,0.73,0.68,0.74,0.78)^2))</f>
        <v>10.251707174905066</v>
      </c>
      <c r="J12" s="205" t="s">
        <v>628</v>
      </c>
      <c r="K12" s="200">
        <f>G12/I12</f>
        <v>-2.01429865754932</v>
      </c>
      <c r="L12" s="65"/>
      <c r="M12" s="201">
        <f>LOOKUP(ABS(K12),O5:AB6)</f>
        <v>3</v>
      </c>
    </row>
    <row r="13" spans="3:13" ht="12.75">
      <c r="C13" s="201"/>
      <c r="D13" s="204"/>
      <c r="E13" s="199"/>
      <c r="F13" s="204"/>
      <c r="G13" s="199"/>
      <c r="H13" s="204"/>
      <c r="I13" s="206"/>
      <c r="J13" s="204"/>
      <c r="K13" s="65"/>
      <c r="L13" s="65"/>
      <c r="M13" s="201"/>
    </row>
    <row r="14" spans="1:13" ht="12.75">
      <c r="A14" s="27" t="s">
        <v>46</v>
      </c>
      <c r="C14" s="199">
        <f>'WJ III COG'!C37</f>
        <v>94</v>
      </c>
      <c r="D14" s="204" t="s">
        <v>627</v>
      </c>
      <c r="E14" s="199">
        <f>15*(CHOOSE(O4,0.44,0.47,0.58,0.63)*((G6-100)/15))+100</f>
        <v>102.2</v>
      </c>
      <c r="F14" s="205" t="s">
        <v>628</v>
      </c>
      <c r="G14" s="199">
        <f>C14-E14</f>
        <v>-8.200000000000003</v>
      </c>
      <c r="H14" s="204" t="s">
        <v>629</v>
      </c>
      <c r="I14" s="206">
        <f>15*SQRT(1-(CHOOSE(O4,0.44,0.47,0.58,0.63)^2))</f>
        <v>13.469966592386188</v>
      </c>
      <c r="J14" s="205" t="s">
        <v>628</v>
      </c>
      <c r="K14" s="200">
        <f>G14/I14</f>
        <v>-0.6087617176894113</v>
      </c>
      <c r="L14" s="65"/>
      <c r="M14" s="201">
        <f>LOOKUP(ABS(K14),O5:AB6)</f>
        <v>50</v>
      </c>
    </row>
    <row r="15" spans="3:13" ht="12.75">
      <c r="C15" s="201"/>
      <c r="D15" s="204"/>
      <c r="E15" s="199"/>
      <c r="F15" s="204"/>
      <c r="G15" s="199"/>
      <c r="H15" s="204"/>
      <c r="I15" s="206"/>
      <c r="J15" s="204"/>
      <c r="K15" s="65"/>
      <c r="L15" s="65"/>
      <c r="M15" s="201"/>
    </row>
    <row r="16" spans="1:13" ht="12.75">
      <c r="A16" s="27" t="s">
        <v>47</v>
      </c>
      <c r="C16" s="201">
        <f>'WJ III COG'!C39</f>
        <v>114</v>
      </c>
      <c r="D16" s="204" t="s">
        <v>627</v>
      </c>
      <c r="E16" s="199">
        <f>15*(CHOOSE(O4,0.57,0.57,0.63,0.72)*((G6-100)/15))+100</f>
        <v>102.85</v>
      </c>
      <c r="F16" s="205" t="s">
        <v>628</v>
      </c>
      <c r="G16" s="199">
        <f>C16-E16</f>
        <v>11.150000000000006</v>
      </c>
      <c r="H16" s="204" t="s">
        <v>629</v>
      </c>
      <c r="I16" s="206">
        <f>15*SQRT(1-(CHOOSE(O4,0.57,0.57,0.63,0.72)^2))</f>
        <v>12.324670380987882</v>
      </c>
      <c r="J16" s="205" t="s">
        <v>628</v>
      </c>
      <c r="K16" s="200">
        <f>G16/I16</f>
        <v>0.9046895093600288</v>
      </c>
      <c r="L16" s="65"/>
      <c r="M16" s="201">
        <f>LOOKUP(ABS(K16),O5:AB6)</f>
        <v>25</v>
      </c>
    </row>
    <row r="17" spans="3:13" ht="12.75">
      <c r="C17" s="201"/>
      <c r="D17" s="204"/>
      <c r="E17" s="199"/>
      <c r="F17" s="204"/>
      <c r="G17" s="199"/>
      <c r="H17" s="204"/>
      <c r="I17" s="206"/>
      <c r="J17" s="204"/>
      <c r="K17" s="65"/>
      <c r="L17" s="65"/>
      <c r="M17" s="201"/>
    </row>
    <row r="18" spans="1:13" ht="12.75">
      <c r="A18" s="19" t="s">
        <v>48</v>
      </c>
      <c r="C18" s="201">
        <f>'WJ III COG'!C40</f>
        <v>107</v>
      </c>
      <c r="D18" s="204" t="s">
        <v>627</v>
      </c>
      <c r="E18" s="199">
        <f>15*(CHOOSE(O4,0.79,0.79,0.81,0.84)*((G6-100)/15))+100</f>
        <v>103.95</v>
      </c>
      <c r="F18" s="205" t="s">
        <v>628</v>
      </c>
      <c r="G18" s="199">
        <f>C18-E18</f>
        <v>3.049999999999997</v>
      </c>
      <c r="H18" s="204" t="s">
        <v>629</v>
      </c>
      <c r="I18" s="206">
        <f>15*SQRT(1-(CHOOSE(O4,0.79,0.79,0.81,0.84)^2))</f>
        <v>9.196602633581598</v>
      </c>
      <c r="J18" s="205" t="s">
        <v>628</v>
      </c>
      <c r="K18" s="200">
        <f>G18/I18</f>
        <v>0.33164420835829683</v>
      </c>
      <c r="L18" s="65"/>
      <c r="M18" s="201">
        <f>LOOKUP(ABS(K18),O5:AB6)</f>
        <v>50</v>
      </c>
    </row>
    <row r="19" spans="3:13" ht="12.75">
      <c r="C19" s="201"/>
      <c r="D19" s="204"/>
      <c r="E19" s="199"/>
      <c r="F19" s="204"/>
      <c r="G19" s="199"/>
      <c r="H19" s="204"/>
      <c r="I19" s="206"/>
      <c r="J19" s="204"/>
      <c r="K19" s="65"/>
      <c r="L19" s="65"/>
      <c r="M19" s="201"/>
    </row>
    <row r="20" spans="1:13" ht="12.75">
      <c r="A20" s="27" t="s">
        <v>49</v>
      </c>
      <c r="C20" s="201">
        <f>'WJ III COG'!C42</f>
        <v>100</v>
      </c>
      <c r="D20" s="204" t="s">
        <v>627</v>
      </c>
      <c r="E20" s="199">
        <f>15*(CHOOSE(O4,0.64,0.57,0.61,0.67)*((G6-100)/15))+100</f>
        <v>103.2</v>
      </c>
      <c r="F20" s="205" t="s">
        <v>628</v>
      </c>
      <c r="G20" s="199">
        <f>C20-E20</f>
        <v>-3.200000000000003</v>
      </c>
      <c r="H20" s="204" t="s">
        <v>629</v>
      </c>
      <c r="I20" s="206">
        <f>15*SQRT(1-(CHOOSE(O4,0.64,0.57,0.61,0.67)^2))</f>
        <v>11.525623627379128</v>
      </c>
      <c r="J20" s="205" t="s">
        <v>628</v>
      </c>
      <c r="K20" s="200">
        <f>G20/I20</f>
        <v>-0.27764224335752213</v>
      </c>
      <c r="L20" s="65"/>
      <c r="M20" s="201">
        <f>LOOKUP(ABS(K20),O5:AB6)</f>
        <v>50</v>
      </c>
    </row>
    <row r="21" spans="3:13" ht="12.75">
      <c r="C21" s="201"/>
      <c r="D21" s="204"/>
      <c r="E21" s="199"/>
      <c r="F21" s="204"/>
      <c r="G21" s="199"/>
      <c r="H21" s="204"/>
      <c r="I21" s="206"/>
      <c r="J21" s="204"/>
      <c r="K21" s="65"/>
      <c r="L21" s="65"/>
      <c r="M21" s="201"/>
    </row>
    <row r="22" spans="1:13" ht="12.75">
      <c r="A22" s="27" t="s">
        <v>50</v>
      </c>
      <c r="C22" s="201">
        <f>'WJ III COG'!C43</f>
        <v>100</v>
      </c>
      <c r="D22" s="204" t="s">
        <v>627</v>
      </c>
      <c r="E22" s="199">
        <f>15*(CHOOSE(O4,0.73,0.7,0.74,0.74)*((G6-100)/15))+100</f>
        <v>103.65</v>
      </c>
      <c r="F22" s="205" t="s">
        <v>628</v>
      </c>
      <c r="G22" s="199">
        <f>C22-E22</f>
        <v>-3.6500000000000057</v>
      </c>
      <c r="H22" s="204" t="s">
        <v>629</v>
      </c>
      <c r="I22" s="206">
        <f>15*SQRT(1-(CHOOSE(O4,0.73,0.7,0.74,0.74)^2))</f>
        <v>10.251707174905066</v>
      </c>
      <c r="J22" s="205" t="s">
        <v>628</v>
      </c>
      <c r="K22" s="200">
        <f>G22/I22</f>
        <v>-0.3560382615038754</v>
      </c>
      <c r="L22" s="65"/>
      <c r="M22" s="201">
        <f>LOOKUP(ABS(K22),O5:AB6)</f>
        <v>50</v>
      </c>
    </row>
    <row r="23" spans="3:13" ht="12.75">
      <c r="C23" s="201"/>
      <c r="D23" s="204"/>
      <c r="E23" s="199"/>
      <c r="F23" s="204"/>
      <c r="G23" s="199"/>
      <c r="H23" s="204"/>
      <c r="I23" s="206"/>
      <c r="J23" s="204"/>
      <c r="K23" s="65"/>
      <c r="L23" s="65"/>
      <c r="M23" s="201"/>
    </row>
    <row r="24" spans="1:13" ht="12.75">
      <c r="A24" s="27" t="s">
        <v>239</v>
      </c>
      <c r="C24" s="201">
        <f>'WJ III COG'!C45</f>
        <v>123</v>
      </c>
      <c r="D24" s="204" t="s">
        <v>627</v>
      </c>
      <c r="E24" s="199">
        <f>15*(CHOOSE(O4,0.59,0.58,0.66,0.73)*((G6-100)/15))+100</f>
        <v>102.95</v>
      </c>
      <c r="F24" s="205" t="s">
        <v>628</v>
      </c>
      <c r="G24" s="199">
        <f>C24-E24</f>
        <v>20.049999999999997</v>
      </c>
      <c r="H24" s="204" t="s">
        <v>629</v>
      </c>
      <c r="I24" s="206">
        <f>15*SQRT(1-(CHOOSE(O4,0.59,0.58,0.66,0.73)^2))</f>
        <v>12.111048674660672</v>
      </c>
      <c r="J24" s="205" t="s">
        <v>628</v>
      </c>
      <c r="K24" s="200">
        <f>G24/I24</f>
        <v>1.6555131218281358</v>
      </c>
      <c r="L24" s="65"/>
      <c r="M24" s="201">
        <f>LOOKUP(ABS(K24),O5:AB6)</f>
        <v>5</v>
      </c>
    </row>
    <row r="25" spans="1:13" ht="12.75">
      <c r="A25" s="27"/>
      <c r="C25" s="201"/>
      <c r="D25" s="204"/>
      <c r="E25" s="199"/>
      <c r="F25" s="204"/>
      <c r="G25" s="199"/>
      <c r="H25" s="204"/>
      <c r="I25" s="206"/>
      <c r="J25" s="204"/>
      <c r="K25" s="65"/>
      <c r="L25" s="65"/>
      <c r="M25" s="201"/>
    </row>
    <row r="26" spans="1:13" ht="12.75">
      <c r="A26" s="27" t="s">
        <v>264</v>
      </c>
      <c r="C26" s="201">
        <f>'WJ III COG'!C47</f>
        <v>93</v>
      </c>
      <c r="D26" s="204" t="s">
        <v>627</v>
      </c>
      <c r="E26" s="199">
        <f>15*(CHOOSE(O4,0.77,0.74,0.77,0.79)*((G6-100)/15))+100</f>
        <v>103.85</v>
      </c>
      <c r="F26" s="205" t="s">
        <v>628</v>
      </c>
      <c r="G26" s="199">
        <f>C26-E26</f>
        <v>-10.849999999999994</v>
      </c>
      <c r="H26" s="204" t="s">
        <v>629</v>
      </c>
      <c r="I26" s="206">
        <f>15*SQRT(1-(CHOOSE(O4,0.77,0.74,0.77,0.79)^2))</f>
        <v>9.570658284569562</v>
      </c>
      <c r="J26" s="205" t="s">
        <v>628</v>
      </c>
      <c r="K26" s="200">
        <f>G26/I26</f>
        <v>-1.1336733250097404</v>
      </c>
      <c r="L26" s="65"/>
      <c r="M26" s="201">
        <f>LOOKUP(ABS(K26),O5:AB6)</f>
        <v>15</v>
      </c>
    </row>
    <row r="27" spans="1:13" ht="12.75">
      <c r="A27" s="27"/>
      <c r="C27" s="201"/>
      <c r="D27" s="204"/>
      <c r="E27" s="199"/>
      <c r="F27" s="204"/>
      <c r="G27" s="199"/>
      <c r="H27" s="204"/>
      <c r="I27" s="206"/>
      <c r="J27" s="204"/>
      <c r="K27" s="65"/>
      <c r="L27" s="65"/>
      <c r="M27" s="201"/>
    </row>
    <row r="28" spans="1:13" ht="12.75">
      <c r="A28" s="27" t="s">
        <v>242</v>
      </c>
      <c r="C28" s="201">
        <f>'WJ III COG'!C49</f>
        <v>82</v>
      </c>
      <c r="D28" s="204" t="s">
        <v>627</v>
      </c>
      <c r="E28" s="199">
        <f>15*(CHOOSE(O4,0.48,0.43,0.52,0.58)*((G6-100)/15))+100</f>
        <v>102.4</v>
      </c>
      <c r="F28" s="205" t="s">
        <v>628</v>
      </c>
      <c r="G28" s="199">
        <f>C28-E28</f>
        <v>-20.400000000000006</v>
      </c>
      <c r="H28" s="204" t="s">
        <v>629</v>
      </c>
      <c r="I28" s="206">
        <f>15*SQRT(1-(CHOOSE(O4,0.48,0.43,0.52,0.58)^2))</f>
        <v>13.159027319676785</v>
      </c>
      <c r="J28" s="205" t="s">
        <v>628</v>
      </c>
      <c r="K28" s="200">
        <f>G28/I28</f>
        <v>-1.5502665587976814</v>
      </c>
      <c r="L28" s="65"/>
      <c r="M28" s="201">
        <f>LOOKUP(ABS(K28),O5:AB6)</f>
        <v>7</v>
      </c>
    </row>
  </sheetData>
  <sheetProtection password="8D61" sheet="1" objects="1" scenarios="1" selectLockedCells="1"/>
  <mergeCells count="2">
    <mergeCell ref="C4:E4"/>
    <mergeCell ref="A2:M2"/>
  </mergeCells>
  <printOptions horizontalCentered="1" verticalCentered="1"/>
  <pageMargins left="0.75" right="0.75" top="1" bottom="1" header="0.5" footer="0.5"/>
  <pageSetup horizontalDpi="300" verticalDpi="300" orientation="landscape" r:id="rId1"/>
  <headerFooter alignWithMargins="0">
    <oddHeader>&amp;C&amp;"Geneva,Bold"&amp;18WJ III™  Computer Template © 2001</oddHeader>
    <oddFooter>&amp;L&amp;8Woodcock-Johnson III by Richard W. Woodcock, Kevin S. McGrew, and Nancy Mather © Riverside Publishing, 2001.
All rights Reserved&amp;R&amp;8Page  &amp;P   
Template created by Ron Dumont and John Willis</oddFooter>
  </headerFooter>
</worksheet>
</file>

<file path=xl/worksheets/sheet4.xml><?xml version="1.0" encoding="utf-8"?>
<worksheet xmlns="http://schemas.openxmlformats.org/spreadsheetml/2006/main" xmlns:r="http://schemas.openxmlformats.org/officeDocument/2006/relationships">
  <dimension ref="A1:Q33"/>
  <sheetViews>
    <sheetView showGridLines="0" zoomScaleSheetLayoutView="100" zoomScalePageLayoutView="0" workbookViewId="0" topLeftCell="A1">
      <selection activeCell="G21" sqref="G21"/>
    </sheetView>
  </sheetViews>
  <sheetFormatPr defaultColWidth="9.00390625" defaultRowHeight="12.75"/>
  <cols>
    <col min="1" max="1" width="27.375" style="0" bestFit="1" customWidth="1"/>
    <col min="5" max="5" width="7.75390625" style="0" customWidth="1"/>
    <col min="8" max="8" width="10.75390625" style="0" hidden="1" customWidth="1"/>
    <col min="9" max="9" width="3.625" style="0" hidden="1" customWidth="1"/>
    <col min="10" max="10" width="10.375" style="0" hidden="1" customWidth="1"/>
    <col min="11" max="11" width="1.25" style="0" hidden="1" customWidth="1"/>
    <col min="12" max="12" width="9.25390625" style="0" hidden="1" customWidth="1"/>
    <col min="13" max="15" width="1.25" style="0" hidden="1" customWidth="1"/>
    <col min="16" max="16" width="9.125" style="0" hidden="1" customWidth="1"/>
  </cols>
  <sheetData>
    <row r="1" spans="1:6" ht="15.75">
      <c r="A1" s="247" t="s">
        <v>617</v>
      </c>
      <c r="B1" s="247"/>
      <c r="C1" s="247"/>
      <c r="D1" s="247"/>
      <c r="E1" s="247"/>
      <c r="F1" s="247"/>
    </row>
    <row r="3" spans="2:7" ht="28.5" customHeight="1">
      <c r="B3" s="189" t="s">
        <v>382</v>
      </c>
      <c r="C3" s="189" t="s">
        <v>613</v>
      </c>
      <c r="D3" s="189" t="s">
        <v>614</v>
      </c>
      <c r="E3" s="189" t="s">
        <v>615</v>
      </c>
      <c r="F3" s="189" t="s">
        <v>616</v>
      </c>
      <c r="G3" s="189" t="s">
        <v>618</v>
      </c>
    </row>
    <row r="4" spans="1:17" ht="12.75">
      <c r="A4" s="36" t="s">
        <v>150</v>
      </c>
      <c r="B4" s="66">
        <f>'WJ III COG'!E60</f>
        <v>115</v>
      </c>
      <c r="C4" s="199">
        <f>J5</f>
        <v>99.66666666666667</v>
      </c>
      <c r="D4" s="199">
        <f>B4-C4</f>
        <v>15.333333333333329</v>
      </c>
      <c r="E4" s="200">
        <f>D4/15</f>
        <v>1.022222222222222</v>
      </c>
      <c r="F4" s="201" t="str">
        <f>IF(B4="","",IF(D4&gt;14,"H",IF(D4&lt;-14,"L","")))</f>
        <v>H</v>
      </c>
      <c r="G4" s="65"/>
      <c r="H4" s="65"/>
      <c r="I4" s="202">
        <f>B4+B8+B12+B16+B20+B24+B28</f>
        <v>713</v>
      </c>
      <c r="J4" s="203" t="s">
        <v>612</v>
      </c>
      <c r="K4" s="65"/>
      <c r="L4" s="65"/>
      <c r="M4" s="65"/>
      <c r="N4" s="65"/>
      <c r="O4" s="65"/>
      <c r="P4" s="65"/>
      <c r="Q4" s="65"/>
    </row>
    <row r="5" spans="1:17" ht="12.75">
      <c r="A5" s="23" t="s">
        <v>245</v>
      </c>
      <c r="B5" s="66">
        <f>'WJ III COG'!E62</f>
        <v>115</v>
      </c>
      <c r="C5" s="199"/>
      <c r="D5" s="65"/>
      <c r="E5" s="200"/>
      <c r="F5" s="201">
        <f>IF(B5="","",IF(D5&gt;14,"H",IF(D5&lt;-14,"L","")))</f>
      </c>
      <c r="G5" s="203">
        <f>IF(L5=1,L6,"")</f>
      </c>
      <c r="H5" s="65"/>
      <c r="I5" s="202">
        <f>sumall-B4</f>
        <v>598</v>
      </c>
      <c r="J5" s="203">
        <f>I5/6</f>
        <v>99.66666666666667</v>
      </c>
      <c r="K5" s="65"/>
      <c r="L5" s="65">
        <f>IF(ABS(B5-B6)&gt;14,1,0)</f>
        <v>0</v>
      </c>
      <c r="M5" s="65"/>
      <c r="N5" s="65"/>
      <c r="O5" s="65"/>
      <c r="P5" s="65"/>
      <c r="Q5" s="65"/>
    </row>
    <row r="6" spans="1:17" ht="12.75">
      <c r="A6" s="23" t="s">
        <v>278</v>
      </c>
      <c r="B6" s="66">
        <f>'WJ III COG'!E63</f>
        <v>113</v>
      </c>
      <c r="C6" s="199"/>
      <c r="D6" s="65"/>
      <c r="E6" s="200"/>
      <c r="F6" s="201">
        <f aca="true" t="shared" si="0" ref="F6:F30">IF(B6="","",IF(D6&gt;14,"H",IF(D6&lt;-14,"L","")))</f>
      </c>
      <c r="G6" s="65"/>
      <c r="H6" s="65"/>
      <c r="I6" s="203"/>
      <c r="J6" s="203"/>
      <c r="K6" s="65"/>
      <c r="L6" s="65" t="str">
        <f>IF(B5&gt;B6,"VC&gt;GI",IF(B6&gt;B5,"GI&gt;VC",""))</f>
        <v>VC&gt;GI</v>
      </c>
      <c r="M6" s="65"/>
      <c r="N6" s="65"/>
      <c r="O6" s="65"/>
      <c r="P6" s="65"/>
      <c r="Q6" s="65"/>
    </row>
    <row r="7" spans="2:17" ht="12.75">
      <c r="B7" s="65"/>
      <c r="C7" s="199"/>
      <c r="D7" s="65"/>
      <c r="E7" s="200"/>
      <c r="F7" s="201">
        <f t="shared" si="0"/>
      </c>
      <c r="G7" s="65"/>
      <c r="H7" s="65"/>
      <c r="I7" s="203"/>
      <c r="J7" s="203"/>
      <c r="K7" s="65"/>
      <c r="L7" s="65"/>
      <c r="M7" s="65"/>
      <c r="N7" s="65"/>
      <c r="O7" s="65"/>
      <c r="P7" s="65"/>
      <c r="Q7" s="65"/>
    </row>
    <row r="8" spans="1:17" ht="12.75">
      <c r="A8" s="36" t="s">
        <v>151</v>
      </c>
      <c r="B8" s="66">
        <f>'WJ III COG'!E67</f>
        <v>100</v>
      </c>
      <c r="C8" s="199">
        <f>J9</f>
        <v>102.16666666666667</v>
      </c>
      <c r="D8" s="199">
        <f>B8-C8</f>
        <v>-2.1666666666666714</v>
      </c>
      <c r="E8" s="200">
        <f>D8/15</f>
        <v>-0.14444444444444476</v>
      </c>
      <c r="F8" s="201">
        <f t="shared" si="0"/>
      </c>
      <c r="G8" s="65"/>
      <c r="H8" s="65"/>
      <c r="I8" s="203"/>
      <c r="J8" s="203"/>
      <c r="K8" s="65"/>
      <c r="L8" s="65"/>
      <c r="M8" s="65"/>
      <c r="N8" s="65"/>
      <c r="O8" s="65"/>
      <c r="P8" s="65"/>
      <c r="Q8" s="65"/>
    </row>
    <row r="9" spans="1:17" ht="12.75">
      <c r="A9" s="14" t="s">
        <v>246</v>
      </c>
      <c r="B9" s="66">
        <f>'WJ III COG'!E69</f>
        <v>80</v>
      </c>
      <c r="C9" s="199"/>
      <c r="D9" s="65"/>
      <c r="E9" s="200"/>
      <c r="F9" s="201">
        <f t="shared" si="0"/>
      </c>
      <c r="G9" s="203" t="str">
        <f>IF(L9=1,L10,"")</f>
        <v>MFW&gt;NR</v>
      </c>
      <c r="H9" s="65"/>
      <c r="I9" s="202">
        <f>sumall-B8</f>
        <v>613</v>
      </c>
      <c r="J9" s="203">
        <f>I9/6</f>
        <v>102.16666666666667</v>
      </c>
      <c r="K9" s="65"/>
      <c r="L9" s="65">
        <f>IF(ABS(B9-B10)&gt;14,1,0)</f>
        <v>1</v>
      </c>
      <c r="M9" s="65"/>
      <c r="N9" s="65"/>
      <c r="O9" s="65"/>
      <c r="P9" s="65"/>
      <c r="Q9" s="65"/>
    </row>
    <row r="10" spans="1:17" ht="12.75">
      <c r="A10" s="14" t="s">
        <v>236</v>
      </c>
      <c r="B10" s="66">
        <f>'WJ III COG'!E70</f>
        <v>120</v>
      </c>
      <c r="C10" s="199"/>
      <c r="D10" s="65"/>
      <c r="E10" s="200"/>
      <c r="F10" s="201">
        <f t="shared" si="0"/>
      </c>
      <c r="G10" s="65"/>
      <c r="H10" s="65"/>
      <c r="I10" s="203"/>
      <c r="J10" s="203"/>
      <c r="K10" s="65"/>
      <c r="L10" s="65" t="str">
        <f>IF(B9&gt;B10,"NR&gt;MFW",IF(B10&gt;B9,"MFW&gt;NR",""))</f>
        <v>MFW&gt;NR</v>
      </c>
      <c r="M10" s="65"/>
      <c r="N10" s="65"/>
      <c r="O10" s="65"/>
      <c r="P10" s="65"/>
      <c r="Q10" s="65"/>
    </row>
    <row r="11" spans="2:17" ht="12.75">
      <c r="B11" s="65"/>
      <c r="C11" s="199"/>
      <c r="D11" s="65"/>
      <c r="E11" s="200"/>
      <c r="F11" s="201">
        <f t="shared" si="0"/>
      </c>
      <c r="G11" s="65"/>
      <c r="H11" s="65"/>
      <c r="I11" s="203"/>
      <c r="J11" s="203"/>
      <c r="K11" s="65"/>
      <c r="L11" s="65"/>
      <c r="M11" s="65"/>
      <c r="N11" s="65"/>
      <c r="O11" s="65"/>
      <c r="P11" s="65"/>
      <c r="Q11" s="65"/>
    </row>
    <row r="12" spans="1:17" ht="12.75">
      <c r="A12" s="36" t="s">
        <v>152</v>
      </c>
      <c r="B12" s="66">
        <f>'WJ III COG'!E75</f>
        <v>94</v>
      </c>
      <c r="C12" s="199">
        <f>J13</f>
        <v>103.16666666666667</v>
      </c>
      <c r="D12" s="199">
        <f>B12-C12</f>
        <v>-9.166666666666671</v>
      </c>
      <c r="E12" s="200">
        <f>D12/15</f>
        <v>-0.6111111111111114</v>
      </c>
      <c r="F12" s="201">
        <f t="shared" si="0"/>
      </c>
      <c r="G12" s="65"/>
      <c r="H12" s="65"/>
      <c r="I12" s="203"/>
      <c r="J12" s="203"/>
      <c r="K12" s="65"/>
      <c r="L12" s="65"/>
      <c r="M12" s="65"/>
      <c r="N12" s="65"/>
      <c r="O12" s="65"/>
      <c r="P12" s="65"/>
      <c r="Q12" s="65"/>
    </row>
    <row r="13" spans="1:17" ht="12.75">
      <c r="A13" s="23" t="s">
        <v>248</v>
      </c>
      <c r="B13" s="66">
        <f>'WJ III COG'!E77</f>
        <v>92</v>
      </c>
      <c r="C13" s="199"/>
      <c r="D13" s="65"/>
      <c r="E13" s="200"/>
      <c r="F13" s="201">
        <f t="shared" si="0"/>
      </c>
      <c r="G13" s="203">
        <f>IF(L13=1,L14,"")</f>
      </c>
      <c r="H13" s="65"/>
      <c r="I13" s="202">
        <f>sumall-B12</f>
        <v>619</v>
      </c>
      <c r="J13" s="203">
        <f>I13/6</f>
        <v>103.16666666666667</v>
      </c>
      <c r="K13" s="65"/>
      <c r="L13" s="65">
        <f>IF(ABS(B13-B14)&gt;14,1,0)</f>
        <v>0</v>
      </c>
      <c r="M13" s="65"/>
      <c r="N13" s="65"/>
      <c r="O13" s="65"/>
      <c r="P13" s="65"/>
      <c r="Q13" s="65"/>
    </row>
    <row r="14" spans="1:17" ht="12.75">
      <c r="A14" s="23" t="s">
        <v>256</v>
      </c>
      <c r="B14" s="66">
        <f>'WJ III COG'!E78</f>
        <v>99</v>
      </c>
      <c r="C14" s="199"/>
      <c r="D14" s="65"/>
      <c r="E14" s="200"/>
      <c r="F14" s="201">
        <f t="shared" si="0"/>
      </c>
      <c r="G14" s="65"/>
      <c r="H14" s="65"/>
      <c r="I14" s="203"/>
      <c r="J14" s="203"/>
      <c r="K14" s="65"/>
      <c r="L14" s="65" t="str">
        <f>IF(B13&gt;B14,"SR&gt;PR",IF(B14&gt;B13,"SR&gt;PR",""))</f>
        <v>SR&gt;PR</v>
      </c>
      <c r="M14" s="65"/>
      <c r="N14" s="65"/>
      <c r="O14" s="65"/>
      <c r="P14" s="65"/>
      <c r="Q14" s="65"/>
    </row>
    <row r="15" spans="2:17" ht="12.75">
      <c r="B15" s="65"/>
      <c r="C15" s="199"/>
      <c r="D15" s="65"/>
      <c r="E15" s="200"/>
      <c r="F15" s="201">
        <f t="shared" si="0"/>
      </c>
      <c r="G15" s="65"/>
      <c r="H15" s="65"/>
      <c r="I15" s="203"/>
      <c r="J15" s="203"/>
      <c r="K15" s="65"/>
      <c r="L15" s="65"/>
      <c r="M15" s="65"/>
      <c r="N15" s="65"/>
      <c r="O15" s="65"/>
      <c r="P15" s="65"/>
      <c r="Q15" s="65"/>
    </row>
    <row r="16" spans="1:17" ht="12.75">
      <c r="A16" s="36" t="s">
        <v>153</v>
      </c>
      <c r="B16" s="66">
        <f>'WJ III COG'!E84</f>
        <v>114</v>
      </c>
      <c r="C16" s="199">
        <f>J17</f>
        <v>99.83333333333333</v>
      </c>
      <c r="D16" s="199">
        <f>B16-C16</f>
        <v>14.166666666666671</v>
      </c>
      <c r="E16" s="200">
        <f>D16/15</f>
        <v>0.9444444444444448</v>
      </c>
      <c r="F16" s="201" t="str">
        <f t="shared" si="0"/>
        <v>H</v>
      </c>
      <c r="G16" s="65"/>
      <c r="H16" s="65"/>
      <c r="I16" s="203"/>
      <c r="J16" s="203"/>
      <c r="K16" s="65"/>
      <c r="L16" s="65"/>
      <c r="M16" s="65"/>
      <c r="N16" s="65"/>
      <c r="O16" s="65"/>
      <c r="P16" s="65"/>
      <c r="Q16" s="65"/>
    </row>
    <row r="17" spans="1:17" ht="12.75">
      <c r="A17" s="23" t="s">
        <v>250</v>
      </c>
      <c r="B17" s="66">
        <f>'WJ III COG'!E86</f>
        <v>122</v>
      </c>
      <c r="C17" s="199"/>
      <c r="D17" s="65"/>
      <c r="E17" s="200"/>
      <c r="F17" s="201">
        <f t="shared" si="0"/>
      </c>
      <c r="G17" s="203" t="str">
        <f>IF(L17=1,L18,"")</f>
        <v>SB&gt;AA</v>
      </c>
      <c r="H17" s="65"/>
      <c r="I17" s="202">
        <f>sumall-B16</f>
        <v>599</v>
      </c>
      <c r="J17" s="203">
        <f>I17/6</f>
        <v>99.83333333333333</v>
      </c>
      <c r="K17" s="65"/>
      <c r="L17" s="65">
        <f>IF(ABS(B17-B18)&gt;14,1,0)</f>
        <v>1</v>
      </c>
      <c r="M17" s="65"/>
      <c r="N17" s="65"/>
      <c r="O17" s="65"/>
      <c r="P17" s="65"/>
      <c r="Q17" s="65"/>
    </row>
    <row r="18" spans="1:17" ht="12.75">
      <c r="A18" s="23" t="s">
        <v>265</v>
      </c>
      <c r="B18" s="66">
        <f>'WJ III COG'!E87</f>
        <v>101</v>
      </c>
      <c r="C18" s="199"/>
      <c r="D18" s="65"/>
      <c r="E18" s="200"/>
      <c r="F18" s="201">
        <f t="shared" si="0"/>
      </c>
      <c r="G18" s="65"/>
      <c r="H18" s="65"/>
      <c r="I18" s="203"/>
      <c r="J18" s="203"/>
      <c r="K18" s="65"/>
      <c r="L18" s="65" t="str">
        <f>IF(B17&gt;B18,"SB&gt;AA",IF(B18&gt;B17,"AA&gt;SB",""))</f>
        <v>SB&gt;AA</v>
      </c>
      <c r="M18" s="65"/>
      <c r="N18" s="65"/>
      <c r="O18" s="65"/>
      <c r="P18" s="65"/>
      <c r="Q18" s="65"/>
    </row>
    <row r="19" spans="2:17" ht="12.75">
      <c r="B19" s="65"/>
      <c r="C19" s="199"/>
      <c r="D19" s="65"/>
      <c r="E19" s="200"/>
      <c r="F19" s="201">
        <f t="shared" si="0"/>
      </c>
      <c r="G19" s="65"/>
      <c r="H19" s="65"/>
      <c r="I19" s="203"/>
      <c r="J19" s="203"/>
      <c r="K19" s="65"/>
      <c r="L19" s="65"/>
      <c r="M19" s="65"/>
      <c r="N19" s="65"/>
      <c r="O19" s="65"/>
      <c r="P19" s="65"/>
      <c r="Q19" s="65"/>
    </row>
    <row r="20" spans="1:17" ht="12.75">
      <c r="A20" s="38" t="s">
        <v>235</v>
      </c>
      <c r="B20" s="66">
        <f>'WJ III COG'!E92</f>
        <v>83</v>
      </c>
      <c r="C20" s="199">
        <f>J21</f>
        <v>105</v>
      </c>
      <c r="D20" s="199">
        <f>B20-C20</f>
        <v>-22</v>
      </c>
      <c r="E20" s="200">
        <f>D20/15</f>
        <v>-1.4666666666666666</v>
      </c>
      <c r="F20" s="201" t="str">
        <f t="shared" si="0"/>
        <v>L</v>
      </c>
      <c r="G20" s="65"/>
      <c r="H20" s="65"/>
      <c r="I20" s="203"/>
      <c r="J20" s="203"/>
      <c r="K20" s="65"/>
      <c r="L20" s="65"/>
      <c r="M20" s="65"/>
      <c r="N20" s="65"/>
      <c r="O20" s="65"/>
      <c r="P20" s="65"/>
      <c r="Q20" s="65"/>
    </row>
    <row r="21" spans="1:17" ht="12.75">
      <c r="A21" s="14" t="s">
        <v>252</v>
      </c>
      <c r="B21" s="66">
        <f>'WJ III COG'!E94</f>
        <v>74</v>
      </c>
      <c r="C21" s="199"/>
      <c r="D21" s="65"/>
      <c r="E21" s="200"/>
      <c r="F21" s="201">
        <f t="shared" si="0"/>
      </c>
      <c r="G21" s="203" t="str">
        <f>IF(L21=1,L22,"")</f>
        <v>RF&gt;VAL</v>
      </c>
      <c r="H21" s="65"/>
      <c r="I21" s="202">
        <f>sumall-B20</f>
        <v>630</v>
      </c>
      <c r="J21" s="203">
        <f>I21/6</f>
        <v>105</v>
      </c>
      <c r="K21" s="65"/>
      <c r="L21" s="65">
        <f>IF(ABS(B21-B22)&gt;14,1,0)</f>
        <v>1</v>
      </c>
      <c r="M21" s="65"/>
      <c r="N21" s="65"/>
      <c r="O21" s="65"/>
      <c r="P21" s="65"/>
      <c r="Q21" s="65"/>
    </row>
    <row r="22" spans="1:17" ht="12.75">
      <c r="A22" s="19" t="s">
        <v>253</v>
      </c>
      <c r="B22" s="66">
        <f>'WJ III COG'!E95</f>
        <v>117</v>
      </c>
      <c r="C22" s="199"/>
      <c r="D22" s="65"/>
      <c r="E22" s="200"/>
      <c r="F22" s="201">
        <f t="shared" si="0"/>
      </c>
      <c r="G22" s="65"/>
      <c r="H22" s="65"/>
      <c r="I22" s="203"/>
      <c r="J22" s="203"/>
      <c r="K22" s="65"/>
      <c r="L22" s="65" t="str">
        <f>IF(B21&gt;B22,"VAL&gt;RF",IF(B22&gt;B21,"RF&gt;VAL",""))</f>
        <v>RF&gt;VAL</v>
      </c>
      <c r="M22" s="65"/>
      <c r="N22" s="65"/>
      <c r="O22" s="65"/>
      <c r="P22" s="65"/>
      <c r="Q22" s="65"/>
    </row>
    <row r="23" spans="2:17" ht="12.75">
      <c r="B23" s="65"/>
      <c r="C23" s="199"/>
      <c r="D23" s="65"/>
      <c r="E23" s="200"/>
      <c r="F23" s="201">
        <f t="shared" si="0"/>
      </c>
      <c r="G23" s="65"/>
      <c r="H23" s="65"/>
      <c r="I23" s="203"/>
      <c r="J23" s="203"/>
      <c r="K23" s="65"/>
      <c r="L23" s="65"/>
      <c r="M23" s="65"/>
      <c r="N23" s="65"/>
      <c r="O23" s="65"/>
      <c r="P23" s="65"/>
      <c r="Q23" s="65"/>
    </row>
    <row r="24" spans="1:17" ht="12.75">
      <c r="A24" s="38" t="s">
        <v>155</v>
      </c>
      <c r="B24" s="66">
        <f>'WJ III COG'!E100</f>
        <v>107</v>
      </c>
      <c r="C24" s="199">
        <f>J25</f>
        <v>101</v>
      </c>
      <c r="D24" s="199">
        <f>B24-C24</f>
        <v>6</v>
      </c>
      <c r="E24" s="200">
        <f>D24/15</f>
        <v>0.4</v>
      </c>
      <c r="F24" s="201">
        <f t="shared" si="0"/>
      </c>
      <c r="G24" s="65"/>
      <c r="H24" s="65"/>
      <c r="I24" s="203"/>
      <c r="J24" s="203"/>
      <c r="K24" s="65"/>
      <c r="L24" s="65"/>
      <c r="M24" s="65"/>
      <c r="N24" s="65"/>
      <c r="O24" s="65"/>
      <c r="P24" s="65"/>
      <c r="Q24" s="65"/>
    </row>
    <row r="25" spans="1:17" ht="12.75">
      <c r="A25" s="23" t="s">
        <v>10</v>
      </c>
      <c r="B25" s="66">
        <f>'WJ III COG'!E102</f>
        <v>105</v>
      </c>
      <c r="C25" s="199"/>
      <c r="D25" s="65"/>
      <c r="E25" s="200"/>
      <c r="F25" s="201">
        <f t="shared" si="0"/>
      </c>
      <c r="G25" s="203">
        <f>IF(L25=1,L26,"")</f>
      </c>
      <c r="H25" s="65"/>
      <c r="I25" s="202">
        <f>sumall-B24</f>
        <v>606</v>
      </c>
      <c r="J25" s="203">
        <f>I25/6</f>
        <v>101</v>
      </c>
      <c r="K25" s="65"/>
      <c r="L25" s="65">
        <f>IF(ABS(B25-B26)&gt;14,1,0)</f>
        <v>0</v>
      </c>
      <c r="M25" s="65"/>
      <c r="N25" s="65"/>
      <c r="O25" s="65"/>
      <c r="P25" s="65"/>
      <c r="Q25" s="65"/>
    </row>
    <row r="26" spans="1:17" ht="12.75">
      <c r="A26" s="19" t="s">
        <v>257</v>
      </c>
      <c r="B26" s="66">
        <f>'WJ III COG'!E103</f>
        <v>107</v>
      </c>
      <c r="C26" s="199"/>
      <c r="D26" s="65"/>
      <c r="E26" s="200"/>
      <c r="F26" s="201">
        <f t="shared" si="0"/>
      </c>
      <c r="G26" s="65"/>
      <c r="H26" s="65"/>
      <c r="I26" s="203"/>
      <c r="J26" s="203"/>
      <c r="K26" s="65"/>
      <c r="L26" s="65" t="str">
        <f>IF(B25&gt;B26,"CF&gt;AS",IF(B26&gt;B25,"AS&gt;CF",""))</f>
        <v>AS&gt;CF</v>
      </c>
      <c r="M26" s="65"/>
      <c r="N26" s="65"/>
      <c r="O26" s="65"/>
      <c r="P26" s="65"/>
      <c r="Q26" s="65"/>
    </row>
    <row r="27" spans="2:17" ht="12.75">
      <c r="B27" s="65"/>
      <c r="C27" s="199"/>
      <c r="D27" s="65"/>
      <c r="E27" s="200"/>
      <c r="F27" s="201">
        <f t="shared" si="0"/>
      </c>
      <c r="G27" s="65"/>
      <c r="H27" s="65"/>
      <c r="I27" s="203"/>
      <c r="J27" s="203"/>
      <c r="K27" s="65"/>
      <c r="L27" s="65"/>
      <c r="M27" s="65"/>
      <c r="N27" s="65"/>
      <c r="O27" s="65"/>
      <c r="P27" s="65"/>
      <c r="Q27" s="65"/>
    </row>
    <row r="28" spans="1:17" ht="12.75">
      <c r="A28" s="36" t="s">
        <v>156</v>
      </c>
      <c r="B28" s="66">
        <f>'WJ III COG'!E109</f>
        <v>100</v>
      </c>
      <c r="C28" s="199">
        <f>J29</f>
        <v>102.16666666666667</v>
      </c>
      <c r="D28" s="199">
        <f>B28-C28</f>
        <v>-2.1666666666666714</v>
      </c>
      <c r="E28" s="200">
        <f>D28/15</f>
        <v>-0.14444444444444476</v>
      </c>
      <c r="F28" s="201">
        <f t="shared" si="0"/>
      </c>
      <c r="G28" s="65"/>
      <c r="H28" s="65"/>
      <c r="I28" s="203"/>
      <c r="J28" s="203"/>
      <c r="K28" s="65"/>
      <c r="L28" s="65"/>
      <c r="M28" s="65"/>
      <c r="N28" s="65"/>
      <c r="O28" s="65"/>
      <c r="P28" s="65"/>
      <c r="Q28" s="65"/>
    </row>
    <row r="29" spans="1:17" ht="12.75">
      <c r="A29" s="23" t="s">
        <v>258</v>
      </c>
      <c r="B29" s="66">
        <f>'WJ III COG'!E111</f>
        <v>106</v>
      </c>
      <c r="C29" s="65"/>
      <c r="D29" s="65"/>
      <c r="E29" s="65"/>
      <c r="F29" s="201">
        <f>IF(B29="","",IF(D29&gt;14,"H",IF(D29&lt;-14,"L","")))</f>
      </c>
      <c r="G29" s="203">
        <f>IF(L29=1,L30,"")</f>
      </c>
      <c r="H29" s="65"/>
      <c r="I29" s="202">
        <f>sumall-B28</f>
        <v>613</v>
      </c>
      <c r="J29" s="203">
        <f>I29/6</f>
        <v>102.16666666666667</v>
      </c>
      <c r="K29" s="65"/>
      <c r="L29" s="65">
        <f>IF(ABS(B29-B30)&gt;14,1,0)</f>
        <v>0</v>
      </c>
      <c r="M29" s="65"/>
      <c r="N29" s="65"/>
      <c r="O29" s="65"/>
      <c r="P29" s="65"/>
      <c r="Q29" s="65"/>
    </row>
    <row r="30" spans="1:17" ht="12.75">
      <c r="A30" s="23" t="s">
        <v>259</v>
      </c>
      <c r="B30" s="66">
        <f>'WJ III COG'!E112</f>
        <v>94</v>
      </c>
      <c r="C30" s="65"/>
      <c r="D30" s="65"/>
      <c r="E30" s="65"/>
      <c r="F30" s="201">
        <f t="shared" si="0"/>
      </c>
      <c r="G30" s="65"/>
      <c r="H30" s="65"/>
      <c r="I30" s="65"/>
      <c r="J30" s="65"/>
      <c r="K30" s="65"/>
      <c r="L30" s="65" t="str">
        <f>IF(B29&gt;B30,"VM&gt;DS",IF(B30&gt;B29,"DS&gt;VM",""))</f>
        <v>VM&gt;DS</v>
      </c>
      <c r="M30" s="65"/>
      <c r="N30" s="65"/>
      <c r="O30" s="65"/>
      <c r="P30" s="65"/>
      <c r="Q30" s="65"/>
    </row>
    <row r="31" spans="2:17" ht="12.75">
      <c r="B31" s="65"/>
      <c r="C31" s="65"/>
      <c r="D31" s="65"/>
      <c r="E31" s="65"/>
      <c r="F31" s="65"/>
      <c r="G31" s="65"/>
      <c r="H31" s="65"/>
      <c r="I31" s="65"/>
      <c r="J31" s="65"/>
      <c r="K31" s="65"/>
      <c r="L31" s="65"/>
      <c r="M31" s="65"/>
      <c r="N31" s="65"/>
      <c r="O31" s="65"/>
      <c r="P31" s="65"/>
      <c r="Q31" s="65"/>
    </row>
    <row r="32" spans="1:2" ht="12.75">
      <c r="A32" s="3"/>
      <c r="B32" s="7"/>
    </row>
    <row r="33" spans="1:2" ht="12.75">
      <c r="A33" s="7"/>
      <c r="B33" s="7"/>
    </row>
  </sheetData>
  <sheetProtection password="8D61" sheet="1" objects="1" scenarios="1" selectLockedCells="1"/>
  <mergeCells count="1">
    <mergeCell ref="A1:F1"/>
  </mergeCells>
  <printOptions horizontalCentered="1" verticalCentered="1"/>
  <pageMargins left="0" right="0" top="1" bottom="1" header="0.5" footer="0.5"/>
  <pageSetup horizontalDpi="300" verticalDpi="300" orientation="portrait" r:id="rId1"/>
  <headerFooter alignWithMargins="0">
    <oddHeader>&amp;C&amp;14WJ III™  Computer Template © 2001</oddHeader>
    <oddFooter>&amp;L&amp;8Woodcock-Johnson III by Richard W. Woodcock, Kevin S. McGrew, and Nancy Mather © Riverside Publishing, 2001.
All rights Reserved&amp;R&amp;8Page  &amp;P   
Template created by Ron Dumont and John Willis</oddFooter>
  </headerFooter>
</worksheet>
</file>

<file path=xl/worksheets/sheet5.xml><?xml version="1.0" encoding="utf-8"?>
<worksheet xmlns="http://schemas.openxmlformats.org/spreadsheetml/2006/main" xmlns:r="http://schemas.openxmlformats.org/officeDocument/2006/relationships">
  <dimension ref="A66:K118"/>
  <sheetViews>
    <sheetView showGridLines="0" zoomScalePageLayoutView="0" workbookViewId="0" topLeftCell="A16">
      <selection activeCell="B65" sqref="B65"/>
    </sheetView>
  </sheetViews>
  <sheetFormatPr defaultColWidth="11.375" defaultRowHeight="12.75"/>
  <cols>
    <col min="1" max="1" width="11.375" style="0" customWidth="1"/>
    <col min="2" max="2" width="27.375" style="0" bestFit="1" customWidth="1"/>
  </cols>
  <sheetData>
    <row r="32" ht="3.75" customHeight="1"/>
    <row r="40" ht="5.25" customHeight="1"/>
    <row r="66" spans="1:10" ht="12.75">
      <c r="A66" s="125"/>
      <c r="B66" s="125"/>
      <c r="C66" s="125"/>
      <c r="D66" s="125"/>
      <c r="E66" s="125"/>
      <c r="F66" s="125"/>
      <c r="G66" s="125"/>
      <c r="H66" s="125"/>
      <c r="I66" s="125"/>
      <c r="J66" s="125"/>
    </row>
    <row r="67" spans="1:10" ht="12.75">
      <c r="A67" s="125"/>
      <c r="B67" s="125"/>
      <c r="C67" s="125"/>
      <c r="D67" s="125"/>
      <c r="E67" s="125"/>
      <c r="F67" s="125"/>
      <c r="G67" s="125"/>
      <c r="H67" s="125"/>
      <c r="I67" s="125"/>
      <c r="J67" s="125"/>
    </row>
    <row r="68" spans="1:10" ht="12.75">
      <c r="A68" s="125"/>
      <c r="B68" s="125"/>
      <c r="C68" s="125"/>
      <c r="D68" s="125"/>
      <c r="E68" s="125"/>
      <c r="F68" s="125"/>
      <c r="G68" s="125"/>
      <c r="H68" s="125"/>
      <c r="I68" s="125"/>
      <c r="J68" s="125"/>
    </row>
    <row r="69" spans="1:10" ht="12.75">
      <c r="A69" s="121"/>
      <c r="B69" s="121"/>
      <c r="C69" s="121"/>
      <c r="D69" s="121"/>
      <c r="E69" s="121"/>
      <c r="F69" s="121"/>
      <c r="G69" s="121"/>
      <c r="H69" s="121"/>
      <c r="I69" s="121"/>
      <c r="J69" s="121"/>
    </row>
    <row r="70" spans="1:10" s="125" customFormat="1" ht="12.75">
      <c r="A70" s="139"/>
      <c r="B70" s="139"/>
      <c r="C70" s="139" t="s">
        <v>308</v>
      </c>
      <c r="D70" s="139" t="s">
        <v>309</v>
      </c>
      <c r="E70" s="139" t="s">
        <v>310</v>
      </c>
      <c r="F70" s="139"/>
      <c r="G70" s="139"/>
      <c r="H70" s="139"/>
      <c r="I70" s="139"/>
      <c r="J70" s="121"/>
    </row>
    <row r="71" spans="1:10" s="125" customFormat="1" ht="12.75">
      <c r="A71" s="139"/>
      <c r="B71" s="159" t="str">
        <f>'WJ III COG'!D114&amp;I71</f>
        <v>Pair Cancellation (AC) (74 - 84)</v>
      </c>
      <c r="C71" s="159">
        <f>IF(G71="","",G71-H71)</f>
        <v>74</v>
      </c>
      <c r="D71" s="159">
        <f>IF(G71="","",2*H71)</f>
        <v>10</v>
      </c>
      <c r="E71" s="159">
        <f>IF(G71="","",200-(C71+D71))</f>
        <v>116</v>
      </c>
      <c r="F71" s="159"/>
      <c r="G71" s="159">
        <f>'WJ III COG'!E114</f>
        <v>79</v>
      </c>
      <c r="H71" s="159">
        <v>5</v>
      </c>
      <c r="I71" s="139" t="str">
        <f>IF(G71="",""," ("&amp;(G71-H71)&amp;" - "&amp;(G71+H71)&amp;")")</f>
        <v> (74 - 84)</v>
      </c>
      <c r="J71" s="121"/>
    </row>
    <row r="72" spans="1:10" s="125" customFormat="1" ht="12.75">
      <c r="A72" s="139"/>
      <c r="B72" s="159" t="str">
        <f>'WJ III COG'!D113&amp;I72</f>
        <v>Rapid Picture Naming (NA) (72 - 80)</v>
      </c>
      <c r="C72" s="159">
        <f>IF(G72="","",G72-H72)</f>
        <v>72</v>
      </c>
      <c r="D72" s="159">
        <f>IF(G72="","",2*H72)</f>
        <v>8</v>
      </c>
      <c r="E72" s="159">
        <f>IF(G72="","",200-(C72+D72))</f>
        <v>120</v>
      </c>
      <c r="F72" s="159"/>
      <c r="G72" s="159">
        <f>'WJ III COG'!E113</f>
        <v>76</v>
      </c>
      <c r="H72" s="159">
        <v>4</v>
      </c>
      <c r="I72" s="139" t="str">
        <f>IF(G72="",""," ("&amp;(G72-H72)&amp;" - "&amp;(G72+H72)&amp;")")</f>
        <v> (72 - 80)</v>
      </c>
      <c r="J72" s="121"/>
    </row>
    <row r="73" spans="1:10" s="125" customFormat="1" ht="12.75">
      <c r="A73" s="139"/>
      <c r="B73" s="159" t="str">
        <f>'WJ III COG'!D112&amp;I73</f>
        <v>Decision Speed (RA) (84 - 104)</v>
      </c>
      <c r="C73" s="159">
        <f>IF(G73="","",G73-H73)</f>
        <v>84</v>
      </c>
      <c r="D73" s="159">
        <f>IF(G73="","",2*H73)</f>
        <v>20</v>
      </c>
      <c r="E73" s="159">
        <f>IF(G73="","",200-(C73+D73))</f>
        <v>96</v>
      </c>
      <c r="F73" s="159"/>
      <c r="G73" s="159">
        <f>'WJ III COG'!E112</f>
        <v>94</v>
      </c>
      <c r="H73" s="159">
        <v>10</v>
      </c>
      <c r="I73" s="139" t="str">
        <f>IF(G73="",""," ("&amp;(G73-H73)&amp;" - "&amp;(G73+H73)&amp;")")</f>
        <v> (84 - 104)</v>
      </c>
      <c r="J73" s="121"/>
    </row>
    <row r="74" spans="1:10" s="125" customFormat="1" ht="12.75">
      <c r="A74" s="139"/>
      <c r="B74" s="159" t="str">
        <f>'WJ III COG'!D111&amp;I74</f>
        <v>Visual Matching (P) (97 - 115)</v>
      </c>
      <c r="C74" s="159">
        <f>IF(G74="","",G74-H74)</f>
        <v>97</v>
      </c>
      <c r="D74" s="159">
        <f>IF(G74="","",2*H74)</f>
        <v>18</v>
      </c>
      <c r="E74" s="159">
        <f>IF(G74="","",200-(C74+D74))</f>
        <v>85</v>
      </c>
      <c r="F74" s="159"/>
      <c r="G74" s="159">
        <f>'WJ III COG'!E111</f>
        <v>106</v>
      </c>
      <c r="H74" s="159">
        <v>9</v>
      </c>
      <c r="I74" s="139" t="str">
        <f>IF(G74="",""," ("&amp;(G74-H74)&amp;" - "&amp;(G74+H74)&amp;")")</f>
        <v> (97 - 115)</v>
      </c>
      <c r="J74" s="121"/>
    </row>
    <row r="75" spans="1:10" s="125" customFormat="1" ht="12.75">
      <c r="A75" s="139"/>
      <c r="B75" s="160" t="str">
        <f>'WJ III COG'!D109&amp;I75</f>
        <v>Processing Speed (Gs) (93 - 107)</v>
      </c>
      <c r="C75" s="159">
        <f>IF(G75="","",G75-H75)</f>
        <v>93</v>
      </c>
      <c r="D75" s="159">
        <f>IF(G75="","",2*H75)</f>
        <v>14</v>
      </c>
      <c r="E75" s="159">
        <f>IF(G75="","",200-(C75+D75))</f>
        <v>93</v>
      </c>
      <c r="F75" s="159"/>
      <c r="G75" s="159">
        <f>'WJ III COG'!E109</f>
        <v>100</v>
      </c>
      <c r="H75" s="159">
        <v>7</v>
      </c>
      <c r="I75" s="139" t="str">
        <f>IF(G75="",""," ("&amp;(G75-H75)&amp;" - "&amp;(G75+H75)&amp;")")</f>
        <v> (93 - 107)</v>
      </c>
      <c r="J75" s="121"/>
    </row>
    <row r="76" spans="1:10" s="125" customFormat="1" ht="5.25" customHeight="1">
      <c r="A76" s="139"/>
      <c r="B76" s="139"/>
      <c r="C76" s="139"/>
      <c r="D76" s="139"/>
      <c r="E76" s="139"/>
      <c r="F76" s="139"/>
      <c r="G76" s="139"/>
      <c r="H76" s="139"/>
      <c r="I76" s="139"/>
      <c r="J76" s="121"/>
    </row>
    <row r="77" spans="1:10" s="125" customFormat="1" ht="12.75">
      <c r="A77" s="139"/>
      <c r="B77" s="159" t="str">
        <f>'WJ III COG'!D105&amp;I77</f>
        <v>Planning (Rs) (86 - 136)</v>
      </c>
      <c r="C77" s="159">
        <f>IF(G77="","",G77-H77)</f>
        <v>86</v>
      </c>
      <c r="D77" s="159">
        <f>IF(G77="","",2*H77)</f>
        <v>50</v>
      </c>
      <c r="E77" s="159">
        <f>IF(G77="","",200-(C77+D77))</f>
        <v>64</v>
      </c>
      <c r="F77" s="159"/>
      <c r="G77" s="159">
        <f>'WJ III COG'!E105</f>
        <v>111</v>
      </c>
      <c r="H77" s="159">
        <v>25</v>
      </c>
      <c r="I77" s="139" t="str">
        <f>IF(G77="",""," ("&amp;(G77-H77)&amp;" - "&amp;(G77+H77)&amp;")")</f>
        <v> (86 - 136)</v>
      </c>
      <c r="J77" s="121"/>
    </row>
    <row r="78" spans="1:10" s="125" customFormat="1" ht="12.75">
      <c r="A78" s="139"/>
      <c r="B78" s="159" t="str">
        <f>'WJ III COG'!D104&amp;I78</f>
        <v>Number Matrices (RQ)</v>
      </c>
      <c r="C78" s="159">
        <f>IF(G78="","",G78-H78)</f>
      </c>
      <c r="D78" s="159">
        <f>IF(G78="","",2*H78)</f>
      </c>
      <c r="E78" s="159">
        <f>IF(G78="","",200-(C78+D78))</f>
      </c>
      <c r="F78" s="159"/>
      <c r="G78" s="159">
        <f>'WJ III COG'!E104</f>
      </c>
      <c r="H78" s="159">
        <v>11</v>
      </c>
      <c r="I78" s="139">
        <f>IF(G78="",""," ("&amp;(G78-H78)&amp;" - "&amp;(G78+H78)&amp;")")</f>
      </c>
      <c r="J78" s="121"/>
    </row>
    <row r="79" spans="1:10" s="125" customFormat="1" ht="12.75">
      <c r="A79" s="139"/>
      <c r="B79" s="159" t="str">
        <f>'WJ III COG'!D103&amp;I79</f>
        <v>Analysis-Synthesis (RG) (95 - 119)</v>
      </c>
      <c r="C79" s="159">
        <f>IF(G79="","",G79-H79)</f>
        <v>95</v>
      </c>
      <c r="D79" s="159">
        <f>IF(G79="","",2*H79)</f>
        <v>24</v>
      </c>
      <c r="E79" s="159">
        <f>IF(G79="","",200-(C79+D79))</f>
        <v>81</v>
      </c>
      <c r="F79" s="159"/>
      <c r="G79" s="159">
        <f>'WJ III COG'!E103</f>
        <v>107</v>
      </c>
      <c r="H79" s="159">
        <v>12</v>
      </c>
      <c r="I79" s="139" t="str">
        <f>IF(G79="",""," ("&amp;(G79-H79)&amp;" - "&amp;(G79+H79)&amp;")")</f>
        <v> (95 - 119)</v>
      </c>
      <c r="J79" s="121"/>
    </row>
    <row r="80" spans="1:10" s="125" customFormat="1" ht="12.75">
      <c r="A80" s="139"/>
      <c r="B80" s="159" t="str">
        <f>'WJ III COG'!D102&amp;I80</f>
        <v>Concept Formation (I) (98 - 112)</v>
      </c>
      <c r="C80" s="159">
        <f>IF(G80="","",G80-H80)</f>
        <v>98</v>
      </c>
      <c r="D80" s="159">
        <f>IF(G80="","",2*H80)</f>
        <v>14</v>
      </c>
      <c r="E80" s="159">
        <f>IF(G80="","",200-(C80+D80))</f>
        <v>88</v>
      </c>
      <c r="F80" s="159"/>
      <c r="G80" s="159">
        <f>'WJ III COG'!E102</f>
        <v>105</v>
      </c>
      <c r="H80" s="159">
        <v>7</v>
      </c>
      <c r="I80" s="139" t="str">
        <f>IF(G80="",""," ("&amp;(G80-H80)&amp;" - "&amp;(G80+H80)&amp;")")</f>
        <v> (98 - 112)</v>
      </c>
      <c r="J80" s="121"/>
    </row>
    <row r="81" spans="1:10" s="125" customFormat="1" ht="12.75">
      <c r="A81" s="139"/>
      <c r="B81" s="160" t="str">
        <f>'WJ III COG'!D100&amp;I81</f>
        <v>Fluid Reasoning (Gf) (98 - 116)</v>
      </c>
      <c r="C81" s="159">
        <f>IF(G81="","",G81-H81)</f>
        <v>98</v>
      </c>
      <c r="D81" s="159">
        <f>IF(G81="","",2*H81)</f>
        <v>18</v>
      </c>
      <c r="E81" s="159">
        <f>IF(G81="","",200-(C81+D81))</f>
        <v>84</v>
      </c>
      <c r="F81" s="159"/>
      <c r="G81" s="159">
        <f>'WJ III COG'!E100</f>
        <v>107</v>
      </c>
      <c r="H81" s="159">
        <v>9</v>
      </c>
      <c r="I81" s="139" t="str">
        <f>IF(G81="",""," ("&amp;(G81-H81)&amp;" - "&amp;(G81+H81)&amp;")")</f>
        <v> (98 - 116)</v>
      </c>
      <c r="J81" s="121"/>
    </row>
    <row r="82" spans="1:10" s="125" customFormat="1" ht="5.25" customHeight="1">
      <c r="A82" s="139"/>
      <c r="B82" s="139"/>
      <c r="C82" s="139"/>
      <c r="D82" s="139"/>
      <c r="E82" s="139"/>
      <c r="F82" s="139"/>
      <c r="G82" s="139"/>
      <c r="H82" s="139"/>
      <c r="I82" s="139"/>
      <c r="J82" s="121"/>
    </row>
    <row r="83" spans="1:10" s="125" customFormat="1" ht="12.75">
      <c r="A83" s="139"/>
      <c r="B83" s="159" t="str">
        <f>'WJ III COG'!D95&amp;I83</f>
        <v>Retrieval Fluency (FI) (105 - 129)</v>
      </c>
      <c r="C83" s="159">
        <f>IF(G83="","",G83-H83)</f>
        <v>105</v>
      </c>
      <c r="D83" s="159">
        <f>IF(G83="","",2*H83)</f>
        <v>24</v>
      </c>
      <c r="E83" s="159">
        <f>IF(G83="","",200-(C83+D83))</f>
        <v>71</v>
      </c>
      <c r="F83" s="159"/>
      <c r="G83" s="159">
        <f>'WJ III COG'!E95</f>
        <v>117</v>
      </c>
      <c r="H83" s="159">
        <v>12</v>
      </c>
      <c r="I83" s="139" t="str">
        <f>IF(G83="",""," ("&amp;(G83-H83)&amp;" - "&amp;(G83+H83)&amp;")")</f>
        <v> (105 - 129)</v>
      </c>
      <c r="J83" s="121"/>
    </row>
    <row r="84" spans="1:10" s="125" customFormat="1" ht="12.75">
      <c r="A84" s="139"/>
      <c r="B84" s="159" t="str">
        <f>'WJ III COG'!D94&amp;I84</f>
        <v>Visual-Auditory Learning (MA) (63 - 85)</v>
      </c>
      <c r="C84" s="159">
        <f>IF(G84="","",G84-H84)</f>
        <v>63</v>
      </c>
      <c r="D84" s="159">
        <f>IF(G84="","",2*H84)</f>
        <v>22</v>
      </c>
      <c r="E84" s="159">
        <f>IF(G84="","",200-(C84+D84))</f>
        <v>115</v>
      </c>
      <c r="F84" s="159"/>
      <c r="G84" s="159">
        <f>'WJ III COG'!E94</f>
        <v>74</v>
      </c>
      <c r="H84" s="159">
        <v>11</v>
      </c>
      <c r="I84" s="139" t="str">
        <f>IF(G84="",""," ("&amp;(G84-H84)&amp;" - "&amp;(G84+H84)&amp;")")</f>
        <v> (63 - 85)</v>
      </c>
      <c r="J84" s="121"/>
    </row>
    <row r="85" spans="1:10" s="125" customFormat="1" ht="12.75">
      <c r="A85" s="139"/>
      <c r="B85" s="160" t="str">
        <f>'WJ III COG'!D92&amp;I85</f>
        <v>Long-term Retrieval (Glr) (74 - 92)</v>
      </c>
      <c r="C85" s="159">
        <f>IF(G85="","",G85-H85)</f>
        <v>74</v>
      </c>
      <c r="D85" s="159">
        <f>IF(G85="","",2*H85)</f>
        <v>18</v>
      </c>
      <c r="E85" s="159">
        <f>IF(G85="","",200-(C85+D85))</f>
        <v>108</v>
      </c>
      <c r="F85" s="159"/>
      <c r="G85" s="159">
        <f>'WJ III COG'!E92</f>
        <v>83</v>
      </c>
      <c r="H85" s="159">
        <v>9</v>
      </c>
      <c r="I85" s="139" t="str">
        <f>IF(G85="",""," ("&amp;(G85-H85)&amp;" - "&amp;(G85+H85)&amp;")")</f>
        <v> (74 - 92)</v>
      </c>
      <c r="J85" s="121"/>
    </row>
    <row r="86" spans="1:10" s="125" customFormat="1" ht="6" customHeight="1">
      <c r="A86" s="139"/>
      <c r="B86" s="139"/>
      <c r="C86" s="139"/>
      <c r="D86" s="139"/>
      <c r="E86" s="139"/>
      <c r="F86" s="139"/>
      <c r="G86" s="139"/>
      <c r="H86" s="139"/>
      <c r="I86" s="139"/>
      <c r="J86" s="121"/>
    </row>
    <row r="87" spans="1:10" s="125" customFormat="1" ht="12.75">
      <c r="A87" s="139"/>
      <c r="B87" s="159" t="str">
        <f>'WJ III COG'!D88&amp;I87</f>
        <v>Incomplete Words (PC-A) (101 - 129)</v>
      </c>
      <c r="C87" s="159">
        <f>IF(G87="","",G87-H87)</f>
        <v>101</v>
      </c>
      <c r="D87" s="159">
        <f>IF(G87="","",2*H87)</f>
        <v>28</v>
      </c>
      <c r="E87" s="159">
        <f>IF(G87="","",200-(C87+D87))</f>
        <v>71</v>
      </c>
      <c r="F87" s="159"/>
      <c r="G87" s="159">
        <f>'WJ III COG'!E88</f>
        <v>115</v>
      </c>
      <c r="H87" s="159">
        <v>14</v>
      </c>
      <c r="I87" s="139" t="str">
        <f>IF(G87="",""," ("&amp;(G87-H87)&amp;" - "&amp;(G87+H87)&amp;")")</f>
        <v> (101 - 129)</v>
      </c>
      <c r="J87" s="121"/>
    </row>
    <row r="88" spans="1:10" s="125" customFormat="1" ht="12.75">
      <c r="A88" s="139"/>
      <c r="B88" s="159" t="str">
        <f>'WJ III COG'!D87&amp;I88</f>
        <v>Auditory Attention (UR, US) (89 - 113)</v>
      </c>
      <c r="C88" s="159">
        <f>IF(G88="","",G88-H88)</f>
        <v>89</v>
      </c>
      <c r="D88" s="159">
        <f>IF(G88="","",2*H88)</f>
        <v>24</v>
      </c>
      <c r="E88" s="159">
        <f>IF(G88="","",200-(C88+D88))</f>
        <v>87</v>
      </c>
      <c r="F88" s="159"/>
      <c r="G88" s="159">
        <f>'WJ III COG'!E87</f>
        <v>101</v>
      </c>
      <c r="H88" s="159">
        <v>12</v>
      </c>
      <c r="I88" s="139" t="str">
        <f>IF(G88="",""," ("&amp;(G88-H88)&amp;" - "&amp;(G88+H88)&amp;")")</f>
        <v> (89 - 113)</v>
      </c>
      <c r="J88" s="121"/>
    </row>
    <row r="89" spans="1:10" s="125" customFormat="1" ht="12.75">
      <c r="A89" s="139"/>
      <c r="B89" s="159" t="str">
        <f>'WJ III COG'!D86&amp;I89</f>
        <v>Sound Blending (PC-S) (110 - 134)</v>
      </c>
      <c r="C89" s="159">
        <f>IF(G89="","",G89-H89)</f>
        <v>110</v>
      </c>
      <c r="D89" s="159">
        <f>IF(G89="","",2*H89)</f>
        <v>24</v>
      </c>
      <c r="E89" s="159">
        <f>IF(G89="","",200-(C89+D89))</f>
        <v>66</v>
      </c>
      <c r="F89" s="159"/>
      <c r="G89" s="159">
        <f>'WJ III COG'!E86</f>
        <v>122</v>
      </c>
      <c r="H89" s="159">
        <v>12</v>
      </c>
      <c r="I89" s="139" t="str">
        <f>IF(G89="",""," ("&amp;(G89-H89)&amp;" - "&amp;(G89+H89)&amp;")")</f>
        <v> (110 - 134)</v>
      </c>
      <c r="J89" s="121"/>
    </row>
    <row r="90" spans="1:10" s="125" customFormat="1" ht="12.75">
      <c r="A90" s="139"/>
      <c r="B90" s="160" t="str">
        <f>'WJ III COG'!D84&amp;I90</f>
        <v>Auditory Processing (Ga) (103 - 125)</v>
      </c>
      <c r="C90" s="159">
        <f>IF(G90="","",G90-H90)</f>
        <v>103</v>
      </c>
      <c r="D90" s="159">
        <f>IF(G90="","",2*H90)</f>
        <v>22</v>
      </c>
      <c r="E90" s="159">
        <f>IF(G90="","",200-(C90+D90))</f>
        <v>75</v>
      </c>
      <c r="F90" s="159"/>
      <c r="G90" s="159">
        <f>'WJ III COG'!E84</f>
        <v>114</v>
      </c>
      <c r="H90" s="159">
        <v>11</v>
      </c>
      <c r="I90" s="139" t="str">
        <f>IF(G90="",""," ("&amp;(G90-H90)&amp;" - "&amp;(G90+H90)&amp;")")</f>
        <v> (103 - 125)</v>
      </c>
      <c r="J90" s="121"/>
    </row>
    <row r="91" spans="1:10" s="125" customFormat="1" ht="3.75" customHeight="1">
      <c r="A91" s="139"/>
      <c r="B91" s="139"/>
      <c r="C91" s="139"/>
      <c r="D91" s="139"/>
      <c r="E91" s="139"/>
      <c r="F91" s="139"/>
      <c r="G91" s="139"/>
      <c r="H91" s="139"/>
      <c r="I91" s="139"/>
      <c r="J91" s="121"/>
    </row>
    <row r="92" spans="1:10" s="125" customFormat="1" ht="12.75">
      <c r="A92" s="139"/>
      <c r="B92" s="159" t="str">
        <f>'WJ III COG'!D80&amp;I92</f>
        <v>Planning (Rs) (86 - 136)</v>
      </c>
      <c r="C92" s="159">
        <f>IF(G92="","",G92-H92)</f>
        <v>86</v>
      </c>
      <c r="D92" s="159">
        <f>IF(G92="","",2*H92)</f>
        <v>50</v>
      </c>
      <c r="E92" s="159">
        <f>IF(G92="","",200-(C92+D92))</f>
        <v>64</v>
      </c>
      <c r="F92" s="159"/>
      <c r="G92" s="159">
        <f>'WJ III COG'!E80</f>
        <v>111</v>
      </c>
      <c r="H92" s="159">
        <v>25</v>
      </c>
      <c r="I92" s="139" t="str">
        <f>IF(G92="",""," ("&amp;(G92-H92)&amp;" - "&amp;(G92+H92)&amp;")")</f>
        <v> (86 - 136)</v>
      </c>
      <c r="J92" s="121"/>
    </row>
    <row r="93" spans="1:10" s="125" customFormat="1" ht="12.75">
      <c r="A93" s="139"/>
      <c r="B93" s="159" t="str">
        <f>'WJ III COG'!D79&amp;I93</f>
        <v>Visual Closure (CS)</v>
      </c>
      <c r="C93" s="159">
        <f>IF(G93="","",G93-H93)</f>
      </c>
      <c r="D93" s="159">
        <f>IF(G93="","",2*H93)</f>
      </c>
      <c r="E93" s="159">
        <f>IF(G93="","",200-(C93+D93))</f>
      </c>
      <c r="F93" s="159"/>
      <c r="G93" s="159">
        <f>'WJ III COG'!E79</f>
      </c>
      <c r="H93" s="159">
        <v>10</v>
      </c>
      <c r="I93" s="139">
        <f>IF(G93="",""," ("&amp;(G93-H93)&amp;" - "&amp;(G93+H93)&amp;")")</f>
      </c>
      <c r="J93" s="121"/>
    </row>
    <row r="94" spans="1:10" s="125" customFormat="1" ht="12.75">
      <c r="A94" s="139"/>
      <c r="B94" s="159" t="str">
        <f>'WJ III COG'!D78&amp;I94</f>
        <v>Picture Recognition (MV) (88 - 110)</v>
      </c>
      <c r="C94" s="159">
        <f>IF(G94="","",G94-H94)</f>
        <v>88</v>
      </c>
      <c r="D94" s="159">
        <f>IF(G94="","",2*H94)</f>
        <v>22</v>
      </c>
      <c r="E94" s="159">
        <f>IF(G94="","",200-(C94+D94))</f>
        <v>90</v>
      </c>
      <c r="F94" s="159"/>
      <c r="G94" s="159">
        <f>'WJ III COG'!E78</f>
        <v>99</v>
      </c>
      <c r="H94" s="159">
        <v>11</v>
      </c>
      <c r="I94" s="139" t="str">
        <f>IF(G94="",""," ("&amp;(G94-H94)&amp;" - "&amp;(G94+H94)&amp;")")</f>
        <v> (88 - 110)</v>
      </c>
      <c r="J94" s="121"/>
    </row>
    <row r="95" spans="1:10" s="125" customFormat="1" ht="12.75">
      <c r="A95" s="139"/>
      <c r="B95" s="159" t="str">
        <f>'WJ III COG'!D77&amp;I95</f>
        <v>Spatial Relations (VZ, SR) (83 - 101)</v>
      </c>
      <c r="C95" s="159">
        <f>IF(G95="","",G95-H95)</f>
        <v>83</v>
      </c>
      <c r="D95" s="159">
        <f>IF(G95="","",2*H95)</f>
        <v>18</v>
      </c>
      <c r="E95" s="159">
        <f>IF(G95="","",200-(C95+D95))</f>
        <v>99</v>
      </c>
      <c r="F95" s="159"/>
      <c r="G95" s="159">
        <f>'WJ III COG'!E77</f>
        <v>92</v>
      </c>
      <c r="H95" s="159">
        <v>9</v>
      </c>
      <c r="I95" s="139" t="str">
        <f>IF(G95="",""," ("&amp;(G95-H95)&amp;" - "&amp;(G95+H95)&amp;")")</f>
        <v> (83 - 101)</v>
      </c>
      <c r="J95" s="121"/>
    </row>
    <row r="96" spans="1:10" s="125" customFormat="1" ht="12.75">
      <c r="A96" s="139"/>
      <c r="B96" s="160" t="str">
        <f>'WJ III COG'!D75&amp;I96</f>
        <v>Visual Processing (Gv) (85 - 103)</v>
      </c>
      <c r="C96" s="159">
        <f>IF(G96="","",G96-H96)</f>
        <v>85</v>
      </c>
      <c r="D96" s="159">
        <f>IF(G96="","",2*H96)</f>
        <v>18</v>
      </c>
      <c r="E96" s="159">
        <f>IF(G96="","",200-(C96+D96))</f>
        <v>97</v>
      </c>
      <c r="F96" s="159"/>
      <c r="G96" s="159">
        <f>'WJ III COG'!E75</f>
        <v>94</v>
      </c>
      <c r="H96" s="159">
        <v>9</v>
      </c>
      <c r="I96" s="139" t="str">
        <f>IF(G96="",""," ("&amp;(G96-H96)&amp;" - "&amp;(G96+H96)&amp;")")</f>
        <v> (85 - 103)</v>
      </c>
      <c r="J96" s="121"/>
    </row>
    <row r="97" spans="1:10" s="125" customFormat="1" ht="4.5" customHeight="1">
      <c r="A97" s="139"/>
      <c r="B97" s="139"/>
      <c r="C97" s="139"/>
      <c r="D97" s="139"/>
      <c r="E97" s="139"/>
      <c r="F97" s="139"/>
      <c r="G97" s="139"/>
      <c r="H97" s="139"/>
      <c r="I97" s="139"/>
      <c r="J97" s="121"/>
    </row>
    <row r="98" spans="1:10" s="125" customFormat="1" ht="12.75">
      <c r="A98" s="139"/>
      <c r="B98" s="159" t="str">
        <f>'WJ III COG'!D71&amp;I98</f>
        <v>Auditory Working Memory (MW) (106 - 124)</v>
      </c>
      <c r="C98" s="159">
        <f>IF(G98="","",G98-H98)</f>
        <v>106</v>
      </c>
      <c r="D98" s="159">
        <f>IF(G98="","",2*H98)</f>
        <v>18</v>
      </c>
      <c r="E98" s="159">
        <f>IF(G98="","",200-(C98+D98))</f>
        <v>76</v>
      </c>
      <c r="F98" s="159"/>
      <c r="G98" s="159">
        <f>'WJ III COG'!E71</f>
        <v>115</v>
      </c>
      <c r="H98" s="159">
        <v>9</v>
      </c>
      <c r="I98" s="139" t="str">
        <f>IF(G98="",""," ("&amp;(G98-H98)&amp;" - "&amp;(G98+H98)&amp;")")</f>
        <v> (106 - 124)</v>
      </c>
      <c r="J98" s="121"/>
    </row>
    <row r="99" spans="1:10" s="125" customFormat="1" ht="12.75">
      <c r="A99" s="139"/>
      <c r="B99" s="159" t="str">
        <f>'WJ III COG'!D70&amp;I99</f>
        <v>Memory for Words (MS) (106 - 134)</v>
      </c>
      <c r="C99" s="159">
        <f>IF(G99="","",G99-H99)</f>
        <v>106</v>
      </c>
      <c r="D99" s="159">
        <f>IF(G99="","",2*H99)</f>
        <v>28</v>
      </c>
      <c r="E99" s="159">
        <f>IF(G99="","",200-(C99+D99))</f>
        <v>66</v>
      </c>
      <c r="F99" s="159"/>
      <c r="G99" s="159">
        <f>'WJ III COG'!E70</f>
        <v>120</v>
      </c>
      <c r="H99" s="159">
        <v>14</v>
      </c>
      <c r="I99" s="139" t="str">
        <f>IF(G99="",""," ("&amp;(G99-H99)&amp;" - "&amp;(G99+H99)&amp;")")</f>
        <v> (106 - 134)</v>
      </c>
      <c r="J99" s="121"/>
    </row>
    <row r="100" spans="1:10" s="125" customFormat="1" ht="12.75">
      <c r="A100" s="139"/>
      <c r="B100" s="159" t="str">
        <f>'WJ III COG'!D69&amp;I100</f>
        <v>Numbers Reversed (MW) (69 - 91)</v>
      </c>
      <c r="C100" s="159">
        <f>IF(G100="","",G100-H100)</f>
        <v>69</v>
      </c>
      <c r="D100" s="159">
        <f>IF(G100="","",2*H100)</f>
        <v>22</v>
      </c>
      <c r="E100" s="159">
        <f>IF(G100="","",200-(C100+D100))</f>
        <v>109</v>
      </c>
      <c r="F100" s="159"/>
      <c r="G100" s="159">
        <f>'WJ III COG'!E69</f>
        <v>80</v>
      </c>
      <c r="H100" s="159">
        <v>11</v>
      </c>
      <c r="I100" s="139" t="str">
        <f>IF(G100="",""," ("&amp;(G100-H100)&amp;" - "&amp;(G100+H100)&amp;")")</f>
        <v> (69 - 91)</v>
      </c>
      <c r="J100" s="121"/>
    </row>
    <row r="101" spans="1:10" s="125" customFormat="1" ht="12.75">
      <c r="A101" s="139"/>
      <c r="B101" s="160" t="str">
        <f>'WJ III COG'!D67&amp;I101</f>
        <v>Short-term Memory (Gsm) (90 - 110)</v>
      </c>
      <c r="C101" s="159">
        <f>IF(G101="","",G101-H101)</f>
        <v>90</v>
      </c>
      <c r="D101" s="159">
        <f>IF(G101="","",2*H101)</f>
        <v>20</v>
      </c>
      <c r="E101" s="159">
        <f>IF(G101="","",200-(C101+D101))</f>
        <v>90</v>
      </c>
      <c r="F101" s="159"/>
      <c r="G101" s="159">
        <f>'WJ III COG'!E67</f>
        <v>100</v>
      </c>
      <c r="H101" s="159">
        <v>10</v>
      </c>
      <c r="I101" s="139" t="str">
        <f>IF(G101="",""," ("&amp;(G101-H101)&amp;" - "&amp;(G101+H101)&amp;")")</f>
        <v> (90 - 110)</v>
      </c>
      <c r="J101" s="121"/>
    </row>
    <row r="102" spans="1:10" s="125" customFormat="1" ht="5.25" customHeight="1">
      <c r="A102" s="139"/>
      <c r="B102" s="139"/>
      <c r="C102" s="139"/>
      <c r="D102" s="139"/>
      <c r="E102" s="139"/>
      <c r="F102" s="139"/>
      <c r="G102" s="139"/>
      <c r="H102" s="139"/>
      <c r="I102" s="139"/>
      <c r="J102" s="121"/>
    </row>
    <row r="103" spans="1:10" s="125" customFormat="1" ht="12.75">
      <c r="A103" s="139"/>
      <c r="B103" s="159" t="str">
        <f>'WJ III COG'!D63&amp;I103</f>
        <v>General Information (K0) (101 - 125)</v>
      </c>
      <c r="C103" s="159">
        <f>IF(G103="","",G103-H103)</f>
        <v>101</v>
      </c>
      <c r="D103" s="159">
        <f>IF(G103="","",2*H103)</f>
        <v>24</v>
      </c>
      <c r="E103" s="159">
        <f>IF(G103="","",200-(C103+D103))</f>
        <v>75</v>
      </c>
      <c r="F103" s="159"/>
      <c r="G103" s="159">
        <f>'WJ III COG'!E63</f>
        <v>113</v>
      </c>
      <c r="H103" s="159">
        <v>12</v>
      </c>
      <c r="I103" s="139" t="str">
        <f>IF(G103="",""," ("&amp;(G103-H103)&amp;" - "&amp;(G103+H103)&amp;")")</f>
        <v> (101 - 125)</v>
      </c>
      <c r="J103" s="121"/>
    </row>
    <row r="104" spans="1:10" s="125" customFormat="1" ht="12.75">
      <c r="A104" s="139"/>
      <c r="B104" s="159" t="str">
        <f>'WJ III COG'!D62&amp;I104</f>
        <v>Verbal Comprehension (LK, LD) (104 - 126)</v>
      </c>
      <c r="C104" s="159">
        <f>IF(G104="","",G104-H104)</f>
        <v>104</v>
      </c>
      <c r="D104" s="159">
        <f>IF(G104="","",2*H104)</f>
        <v>22</v>
      </c>
      <c r="E104" s="159">
        <f>IF(G104="","",200-(C104+D104))</f>
        <v>74</v>
      </c>
      <c r="F104" s="159"/>
      <c r="G104" s="159">
        <f>'WJ III COG'!E62</f>
        <v>115</v>
      </c>
      <c r="H104" s="159">
        <v>11</v>
      </c>
      <c r="I104" s="139" t="str">
        <f>IF(G104="",""," ("&amp;(G104-H104)&amp;" - "&amp;(G104+H104)&amp;")")</f>
        <v> (104 - 126)</v>
      </c>
      <c r="J104" s="121"/>
    </row>
    <row r="105" spans="1:10" s="125" customFormat="1" ht="12.75">
      <c r="A105" s="139"/>
      <c r="B105" s="160" t="str">
        <f>'WJ III COG'!D60&amp;I105</f>
        <v>Comprehension-Knowledge (Gc) (106 - 124)</v>
      </c>
      <c r="C105" s="159">
        <f>IF(G105="","",G105-H105)</f>
        <v>106</v>
      </c>
      <c r="D105" s="159">
        <f>IF(G105="","",2*H105)</f>
        <v>18</v>
      </c>
      <c r="E105" s="159">
        <f>IF(G105="","",200-(C105+D105))</f>
        <v>76</v>
      </c>
      <c r="F105" s="159"/>
      <c r="G105" s="159">
        <f>'WJ III COG'!E60</f>
        <v>115</v>
      </c>
      <c r="H105" s="159">
        <v>9</v>
      </c>
      <c r="I105" s="139" t="str">
        <f>IF(G105="",""," ("&amp;(G105-H105)&amp;" - "&amp;(G105+H105)&amp;")")</f>
        <v> (106 - 124)</v>
      </c>
      <c r="J105" s="121"/>
    </row>
    <row r="106" spans="1:10" s="125" customFormat="1" ht="12.75">
      <c r="A106" s="139"/>
      <c r="B106" s="139"/>
      <c r="C106" s="139"/>
      <c r="D106" s="139"/>
      <c r="E106" s="139"/>
      <c r="F106" s="139"/>
      <c r="G106" s="139"/>
      <c r="H106" s="139"/>
      <c r="I106" s="139"/>
      <c r="J106" s="121"/>
    </row>
    <row r="107" spans="1:11" ht="12.75">
      <c r="A107" s="121"/>
      <c r="B107" s="121"/>
      <c r="C107" s="121"/>
      <c r="D107" s="121"/>
      <c r="E107" s="121"/>
      <c r="F107" s="121"/>
      <c r="G107" s="121"/>
      <c r="H107" s="121"/>
      <c r="I107" s="121"/>
      <c r="J107" s="121"/>
      <c r="K107" s="125"/>
    </row>
    <row r="108" spans="1:11" ht="12.75">
      <c r="A108" s="121"/>
      <c r="B108" s="121"/>
      <c r="C108" s="121"/>
      <c r="D108" s="121"/>
      <c r="E108" s="121"/>
      <c r="F108" s="121"/>
      <c r="G108" s="121"/>
      <c r="H108" s="121"/>
      <c r="I108" s="121"/>
      <c r="J108" s="121"/>
      <c r="K108" s="125"/>
    </row>
    <row r="109" spans="1:11" ht="12.75">
      <c r="A109" s="121"/>
      <c r="B109" s="121"/>
      <c r="C109" s="121"/>
      <c r="D109" s="121"/>
      <c r="E109" s="121"/>
      <c r="F109" s="121"/>
      <c r="G109" s="121"/>
      <c r="H109" s="121"/>
      <c r="I109" s="121"/>
      <c r="J109" s="121"/>
      <c r="K109" s="125"/>
    </row>
    <row r="110" spans="1:11" ht="12.75">
      <c r="A110" s="121"/>
      <c r="B110" s="121"/>
      <c r="C110" s="121"/>
      <c r="D110" s="121"/>
      <c r="E110" s="121"/>
      <c r="F110" s="121"/>
      <c r="G110" s="121"/>
      <c r="H110" s="121"/>
      <c r="I110" s="121"/>
      <c r="J110" s="121"/>
      <c r="K110" s="125"/>
    </row>
    <row r="111" spans="1:11" ht="12.75">
      <c r="A111" s="125"/>
      <c r="B111" s="125"/>
      <c r="C111" s="125"/>
      <c r="D111" s="125"/>
      <c r="E111" s="125"/>
      <c r="F111" s="125"/>
      <c r="G111" s="125"/>
      <c r="H111" s="125"/>
      <c r="I111" s="125"/>
      <c r="J111" s="125"/>
      <c r="K111" s="125"/>
    </row>
    <row r="112" spans="1:11" ht="12.75">
      <c r="A112" s="125"/>
      <c r="B112" s="125"/>
      <c r="C112" s="125"/>
      <c r="D112" s="125"/>
      <c r="E112" s="125"/>
      <c r="F112" s="125"/>
      <c r="G112" s="125"/>
      <c r="H112" s="125"/>
      <c r="I112" s="125"/>
      <c r="J112" s="125"/>
      <c r="K112" s="125"/>
    </row>
    <row r="113" spans="1:11" ht="12.75">
      <c r="A113" s="125"/>
      <c r="B113" s="125"/>
      <c r="C113" s="125"/>
      <c r="D113" s="125"/>
      <c r="E113" s="125"/>
      <c r="F113" s="125"/>
      <c r="G113" s="125"/>
      <c r="H113" s="125"/>
      <c r="I113" s="125"/>
      <c r="J113" s="125"/>
      <c r="K113" s="125"/>
    </row>
    <row r="114" spans="1:11" ht="12.75">
      <c r="A114" s="125"/>
      <c r="B114" s="125"/>
      <c r="C114" s="125"/>
      <c r="D114" s="125"/>
      <c r="E114" s="125"/>
      <c r="F114" s="125"/>
      <c r="G114" s="125"/>
      <c r="H114" s="125"/>
      <c r="I114" s="125"/>
      <c r="J114" s="125"/>
      <c r="K114" s="125"/>
    </row>
    <row r="115" spans="1:11" ht="12.75">
      <c r="A115" s="125"/>
      <c r="B115" s="125"/>
      <c r="C115" s="125"/>
      <c r="D115" s="125"/>
      <c r="E115" s="125"/>
      <c r="F115" s="125"/>
      <c r="G115" s="125"/>
      <c r="H115" s="125"/>
      <c r="I115" s="125"/>
      <c r="J115" s="125"/>
      <c r="K115" s="125"/>
    </row>
    <row r="116" spans="1:11" ht="12.75">
      <c r="A116" s="125"/>
      <c r="B116" s="125"/>
      <c r="C116" s="125"/>
      <c r="D116" s="125"/>
      <c r="E116" s="125"/>
      <c r="F116" s="125"/>
      <c r="G116" s="125"/>
      <c r="H116" s="125"/>
      <c r="I116" s="125"/>
      <c r="J116" s="125"/>
      <c r="K116" s="125"/>
    </row>
    <row r="117" spans="1:11" ht="12.75">
      <c r="A117" s="125"/>
      <c r="B117" s="125"/>
      <c r="C117" s="125"/>
      <c r="D117" s="125"/>
      <c r="E117" s="125"/>
      <c r="F117" s="125"/>
      <c r="G117" s="125"/>
      <c r="H117" s="125"/>
      <c r="I117" s="125"/>
      <c r="J117" s="125"/>
      <c r="K117" s="125"/>
    </row>
    <row r="118" spans="1:11" ht="12.75">
      <c r="A118" s="125"/>
      <c r="B118" s="125"/>
      <c r="C118" s="125"/>
      <c r="D118" s="125"/>
      <c r="E118" s="125"/>
      <c r="F118" s="125"/>
      <c r="G118" s="125"/>
      <c r="H118" s="125"/>
      <c r="I118" s="125"/>
      <c r="J118" s="125"/>
      <c r="K118" s="125"/>
    </row>
  </sheetData>
  <sheetProtection password="8D61" sheet="1" objects="1" scenarios="1"/>
  <printOptions horizontalCentered="1" verticalCentered="1"/>
  <pageMargins left="0" right="0" top="0" bottom="0" header="0.29" footer="0.25"/>
  <pageSetup horizontalDpi="300" verticalDpi="300" orientation="landscape" scale="90" r:id="rId2"/>
  <headerFooter alignWithMargins="0">
    <oddHeader>&amp;C&amp;"Geneva,Bold"&amp;16WJ III™  Cognitive Profiles</oddHeader>
    <oddFooter>&amp;L&amp;8Woodcock-Johnson III by Richard W. Woodcock, Kevin S. McGrew, and Nancy Mather © Riverside Publishing, 2001.
All rights Reserved&amp;R&amp;8  
Template created by Ron Dumont and John Willis</oddFooter>
  </headerFooter>
  <drawing r:id="rId1"/>
</worksheet>
</file>

<file path=xl/worksheets/sheet6.xml><?xml version="1.0" encoding="utf-8"?>
<worksheet xmlns="http://schemas.openxmlformats.org/spreadsheetml/2006/main" xmlns:r="http://schemas.openxmlformats.org/officeDocument/2006/relationships">
  <dimension ref="A43:K111"/>
  <sheetViews>
    <sheetView showGridLines="0" zoomScalePageLayoutView="0" workbookViewId="0" topLeftCell="A1">
      <selection activeCell="A60" sqref="A60"/>
    </sheetView>
  </sheetViews>
  <sheetFormatPr defaultColWidth="11.375" defaultRowHeight="12.75"/>
  <cols>
    <col min="1" max="1" width="11.375" style="0" customWidth="1"/>
    <col min="2" max="2" width="19.625" style="0" customWidth="1"/>
    <col min="3" max="3" width="13.75390625" style="0" customWidth="1"/>
    <col min="4" max="4" width="13.125" style="0" customWidth="1"/>
    <col min="5" max="5" width="11.375" style="0" customWidth="1"/>
    <col min="6" max="6" width="9.625" style="0" customWidth="1"/>
    <col min="7" max="7" width="35.375" style="0" customWidth="1"/>
    <col min="8" max="8" width="5.625" style="0" customWidth="1"/>
    <col min="9" max="9" width="6.00390625" style="0" customWidth="1"/>
    <col min="10" max="10" width="13.625" style="0" customWidth="1"/>
  </cols>
  <sheetData>
    <row r="42" ht="78" customHeight="1"/>
    <row r="43" spans="2:10" ht="36" customHeight="1">
      <c r="B43" s="127" t="s">
        <v>285</v>
      </c>
      <c r="C43" s="114" t="s">
        <v>303</v>
      </c>
      <c r="D43" s="114" t="s">
        <v>305</v>
      </c>
      <c r="E43" s="114" t="s">
        <v>304</v>
      </c>
      <c r="F43" s="114" t="s">
        <v>260</v>
      </c>
      <c r="G43" s="114" t="s">
        <v>330</v>
      </c>
      <c r="H43" s="125"/>
      <c r="I43" s="125"/>
      <c r="J43" s="125"/>
    </row>
    <row r="44" spans="2:10" ht="46.5" customHeight="1">
      <c r="B44" s="132" t="s">
        <v>286</v>
      </c>
      <c r="C44" s="119" t="s">
        <v>290</v>
      </c>
      <c r="D44" s="119" t="s">
        <v>290</v>
      </c>
      <c r="E44" s="119" t="s">
        <v>290</v>
      </c>
      <c r="F44" s="161">
        <f>'Cog. Grps by Lvl'!C19</f>
      </c>
      <c r="G44" s="162">
        <f>'Cog. Grps by Lvl'!D19</f>
      </c>
      <c r="H44" s="125"/>
      <c r="I44" s="125"/>
      <c r="J44" s="125"/>
    </row>
    <row r="45" spans="2:10" ht="46.5" customHeight="1">
      <c r="B45" s="132" t="s">
        <v>287</v>
      </c>
      <c r="C45" s="119" t="s">
        <v>177</v>
      </c>
      <c r="D45" s="133" t="s">
        <v>296</v>
      </c>
      <c r="E45" s="133" t="s">
        <v>300</v>
      </c>
      <c r="F45" s="161">
        <f>'Cog. Grps by Lvl'!C20</f>
      </c>
      <c r="G45" s="162">
        <f>'Cog. Grps by Lvl'!D20</f>
      </c>
      <c r="H45" s="125"/>
      <c r="I45" s="125"/>
      <c r="J45" s="125"/>
    </row>
    <row r="46" spans="2:10" ht="46.5" customHeight="1">
      <c r="B46" s="132" t="s">
        <v>288</v>
      </c>
      <c r="C46" s="119" t="s">
        <v>291</v>
      </c>
      <c r="D46" s="133" t="s">
        <v>299</v>
      </c>
      <c r="E46" s="133" t="s">
        <v>301</v>
      </c>
      <c r="F46" s="161">
        <f>'Cog. Grps by Lvl'!C21</f>
      </c>
      <c r="G46" s="162">
        <f>'Cog. Grps by Lvl'!D21</f>
      </c>
      <c r="H46" s="125"/>
      <c r="I46" s="125"/>
      <c r="J46" s="125"/>
    </row>
    <row r="47" spans="2:10" ht="46.5" customHeight="1">
      <c r="B47" s="134" t="s">
        <v>306</v>
      </c>
      <c r="C47" s="119" t="s">
        <v>292</v>
      </c>
      <c r="D47" s="133" t="s">
        <v>298</v>
      </c>
      <c r="E47" s="133" t="s">
        <v>302</v>
      </c>
      <c r="F47" s="161">
        <f>'Cog. Grps by Lvl'!C22</f>
      </c>
      <c r="G47" s="162">
        <f>'Cog. Grps by Lvl'!D22</f>
      </c>
      <c r="H47" s="125"/>
      <c r="I47" s="125"/>
      <c r="J47" s="125"/>
    </row>
    <row r="48" spans="2:10" ht="46.5" customHeight="1">
      <c r="B48" s="132" t="s">
        <v>289</v>
      </c>
      <c r="C48" s="119" t="s">
        <v>311</v>
      </c>
      <c r="D48" s="133" t="s">
        <v>297</v>
      </c>
      <c r="E48" s="133" t="s">
        <v>307</v>
      </c>
      <c r="F48" s="161" t="str">
        <f>'Cog. Grps by Lvl'!C23</f>
        <v>Gc Glr Gv Ga Gf Gs Gsm </v>
      </c>
      <c r="G48" s="162" t="str">
        <f>'Cog. Grps by Lvl'!D23</f>
        <v>Phonemic Awareness Working Memory Broad Attention Cognitive Fluency Executive Processes Verbal Ability Thinking Ability Cognitive Efficiency </v>
      </c>
      <c r="H48" s="125"/>
      <c r="I48" s="125"/>
      <c r="J48" s="125"/>
    </row>
    <row r="49" spans="1:10" ht="36" customHeight="1">
      <c r="A49" s="125"/>
      <c r="H49" s="125"/>
      <c r="I49" s="125"/>
      <c r="J49" s="125"/>
    </row>
    <row r="50" spans="1:10" ht="36" customHeight="1">
      <c r="A50" s="125"/>
      <c r="B50" s="125"/>
      <c r="C50" s="125"/>
      <c r="D50" s="125"/>
      <c r="E50" s="125"/>
      <c r="F50" s="125"/>
      <c r="G50" s="125"/>
      <c r="H50" s="125"/>
      <c r="I50" s="125"/>
      <c r="J50" s="125"/>
    </row>
    <row r="51" spans="1:10" ht="12.75">
      <c r="A51" s="125"/>
      <c r="B51" s="125"/>
      <c r="C51" s="125"/>
      <c r="D51" s="125"/>
      <c r="E51" s="125"/>
      <c r="F51" s="125"/>
      <c r="G51" s="125"/>
      <c r="H51" s="125"/>
      <c r="I51" s="125"/>
      <c r="J51" s="125"/>
    </row>
    <row r="52" spans="1:10" ht="12.75">
      <c r="A52" s="125"/>
      <c r="B52" s="125"/>
      <c r="C52" s="125"/>
      <c r="D52" s="125"/>
      <c r="E52" s="125"/>
      <c r="F52" s="125"/>
      <c r="G52" s="125"/>
      <c r="H52" s="125"/>
      <c r="I52" s="125"/>
      <c r="J52" s="125"/>
    </row>
    <row r="53" spans="1:10" ht="12.75">
      <c r="A53" s="125"/>
      <c r="B53" s="125"/>
      <c r="C53" s="125"/>
      <c r="D53" s="125"/>
      <c r="E53" s="125"/>
      <c r="F53" s="125"/>
      <c r="G53" s="125"/>
      <c r="H53" s="125"/>
      <c r="I53" s="125"/>
      <c r="J53" s="125"/>
    </row>
    <row r="54" s="125" customFormat="1" ht="12.75"/>
    <row r="55" s="125" customFormat="1" ht="12.75"/>
    <row r="56" s="125" customFormat="1" ht="12.75"/>
    <row r="57" s="125" customFormat="1" ht="12.75"/>
    <row r="58" s="125" customFormat="1" ht="12.75"/>
    <row r="59" s="125" customFormat="1" ht="12.75"/>
    <row r="60" s="125" customFormat="1" ht="12.75"/>
    <row r="61" s="125" customFormat="1" ht="12.75"/>
    <row r="62" s="125" customFormat="1" ht="12.75"/>
    <row r="63" s="125" customFormat="1" ht="12.75"/>
    <row r="64" s="125" customFormat="1" ht="12.75"/>
    <row r="65" s="125" customFormat="1" ht="12.75"/>
    <row r="66" s="125" customFormat="1" ht="12.75"/>
    <row r="67" spans="1:10" s="125" customFormat="1" ht="12.75">
      <c r="A67" s="121"/>
      <c r="B67" s="139"/>
      <c r="C67" s="139"/>
      <c r="D67" s="139"/>
      <c r="E67" s="139"/>
      <c r="F67" s="139"/>
      <c r="G67" s="139"/>
      <c r="H67" s="139"/>
      <c r="I67" s="139"/>
      <c r="J67" s="191"/>
    </row>
    <row r="68" spans="1:10" s="125" customFormat="1" ht="12.75">
      <c r="A68" s="120"/>
      <c r="B68" s="159"/>
      <c r="C68" s="159"/>
      <c r="D68" s="159"/>
      <c r="E68" s="159"/>
      <c r="F68" s="197" t="s">
        <v>120</v>
      </c>
      <c r="G68" s="197" t="s">
        <v>119</v>
      </c>
      <c r="H68" s="159"/>
      <c r="I68" s="159"/>
      <c r="J68" s="196"/>
    </row>
    <row r="69" spans="1:10" s="125" customFormat="1" ht="12.75">
      <c r="A69" s="120"/>
      <c r="B69" s="159" t="str">
        <f>'WJ III COG'!D114&amp;"  SS= "&amp;G69&amp;" RPI="&amp;F69&amp;"/90"</f>
        <v>Pair Cancellation (AC)  SS= 79 RPI=0/90</v>
      </c>
      <c r="C69" s="159">
        <f>IF(F69="","",F69)</f>
        <v>0</v>
      </c>
      <c r="D69" s="159">
        <f>IF(F69="","",1)</f>
        <v>1</v>
      </c>
      <c r="E69" s="159">
        <f>IF(F69="","",100-(C69+D69))</f>
        <v>99</v>
      </c>
      <c r="F69" s="159">
        <f>'WJ III COG'!K14</f>
        <v>0</v>
      </c>
      <c r="G69" s="159">
        <f>'WJ III COG'!E114</f>
        <v>79</v>
      </c>
      <c r="H69" s="159">
        <v>5</v>
      </c>
      <c r="I69" s="159"/>
      <c r="J69" s="196"/>
    </row>
    <row r="70" spans="1:10" s="125" customFormat="1" ht="12.75">
      <c r="A70" s="120"/>
      <c r="B70" s="159" t="str">
        <f>'WJ III COG'!D113&amp;"  SS= "&amp;G70&amp;" RPI="&amp;F70&amp;"/90"</f>
        <v>Rapid Picture Naming (NA)  SS= 76 RPI=0/90</v>
      </c>
      <c r="C70" s="159">
        <f>IF(F70="","",F70)</f>
        <v>0</v>
      </c>
      <c r="D70" s="159">
        <f>IF(F70="","",1)</f>
        <v>1</v>
      </c>
      <c r="E70" s="159">
        <f>IF(F70="","",100-(C70+D70))</f>
        <v>99</v>
      </c>
      <c r="F70" s="159">
        <f>'WJ III COG'!I14</f>
        <v>0</v>
      </c>
      <c r="G70" s="159">
        <f>'WJ III COG'!E113</f>
        <v>76</v>
      </c>
      <c r="H70" s="159">
        <v>4</v>
      </c>
      <c r="I70" s="159"/>
      <c r="J70" s="196"/>
    </row>
    <row r="71" spans="1:10" s="125" customFormat="1" ht="12.75">
      <c r="A71" s="120"/>
      <c r="B71" s="159" t="str">
        <f>'WJ III COG'!D112&amp;"  SS= "&amp;G71&amp;" RPI="&amp;F71&amp;"/90"</f>
        <v>Decision Speed (RA)  SS= 94 RPI=0/90</v>
      </c>
      <c r="C71" s="159">
        <f>IF(F71="","",F71)</f>
        <v>0</v>
      </c>
      <c r="D71" s="159">
        <f>IF(F71="","",1)</f>
        <v>1</v>
      </c>
      <c r="E71" s="159">
        <f>IF(F71="","",100-(C71+D71))</f>
        <v>99</v>
      </c>
      <c r="F71" s="159">
        <f>'WJ III COG'!G14</f>
        <v>0</v>
      </c>
      <c r="G71" s="159">
        <f>'WJ III COG'!E112</f>
        <v>94</v>
      </c>
      <c r="H71" s="159">
        <v>10</v>
      </c>
      <c r="I71" s="159"/>
      <c r="J71" s="196"/>
    </row>
    <row r="72" spans="1:10" s="125" customFormat="1" ht="12.75">
      <c r="A72" s="120"/>
      <c r="B72" s="159" t="str">
        <f>'WJ III COG'!D111&amp;"  SS= "&amp;G72&amp;" RPI="&amp;F72&amp;"/90"</f>
        <v>Visual Matching (P)  SS= 106 RPI=0/90</v>
      </c>
      <c r="C72" s="159">
        <f>IF(F72="","",F72)</f>
        <v>0</v>
      </c>
      <c r="D72" s="159">
        <f>IF(F72="","",1)</f>
        <v>1</v>
      </c>
      <c r="E72" s="159">
        <f>IF(F72="","",100-(C72+D72))</f>
        <v>99</v>
      </c>
      <c r="F72" s="159">
        <f>'WJ III COG'!G10</f>
        <v>0</v>
      </c>
      <c r="G72" s="159">
        <f>'WJ III COG'!E111</f>
        <v>106</v>
      </c>
      <c r="H72" s="159">
        <v>9</v>
      </c>
      <c r="I72" s="159"/>
      <c r="J72" s="196"/>
    </row>
    <row r="73" spans="1:10" s="125" customFormat="1" ht="12.75">
      <c r="A73" s="120"/>
      <c r="B73" s="160" t="str">
        <f>'WJ III COG'!D109&amp;"  SS= "&amp;G73&amp;" RPI="&amp;F73&amp;"/90"</f>
        <v>Processing Speed (Gs)  SS= 100 RPI=0/90</v>
      </c>
      <c r="C73" s="159">
        <f>IF(F73="","",F73)</f>
        <v>0</v>
      </c>
      <c r="D73" s="159">
        <f>IF(F73="","",1)</f>
        <v>1</v>
      </c>
      <c r="E73" s="159">
        <f>IF(F73="","",100-(C73+D73))</f>
        <v>99</v>
      </c>
      <c r="F73" s="159">
        <f>'WJ III COG'!D42</f>
        <v>0</v>
      </c>
      <c r="G73" s="159">
        <f>'WJ III COG'!E109</f>
        <v>100</v>
      </c>
      <c r="H73" s="159">
        <v>7</v>
      </c>
      <c r="I73" s="159"/>
      <c r="J73" s="196"/>
    </row>
    <row r="74" spans="1:10" s="125" customFormat="1" ht="3" customHeight="1">
      <c r="A74" s="121"/>
      <c r="B74" s="139"/>
      <c r="C74" s="139"/>
      <c r="D74" s="139"/>
      <c r="E74" s="139"/>
      <c r="F74" s="139"/>
      <c r="G74" s="139"/>
      <c r="H74" s="139"/>
      <c r="I74" s="139"/>
      <c r="J74" s="191"/>
    </row>
    <row r="75" spans="1:10" s="125" customFormat="1" ht="12.75">
      <c r="A75" s="121"/>
      <c r="B75" s="159" t="str">
        <f>'WJ III COG'!D105&amp;"  SS= "&amp;G75&amp;" RPI="&amp;F75&amp;"/90"</f>
        <v>Planning (Rs)  SS= 111 RPI=0/90</v>
      </c>
      <c r="C75" s="159">
        <f>IF(F75="","",F75)</f>
        <v>0</v>
      </c>
      <c r="D75" s="159">
        <f>IF(F75="","",1)</f>
        <v>1</v>
      </c>
      <c r="E75" s="159">
        <f>IF(F75="","",100-(C75+D75))</f>
        <v>99</v>
      </c>
      <c r="F75" s="159">
        <f>'WJ III COG'!J14</f>
        <v>0</v>
      </c>
      <c r="G75" s="159">
        <f>'WJ III COG'!E105</f>
        <v>111</v>
      </c>
      <c r="H75" s="159">
        <v>25</v>
      </c>
      <c r="I75" s="139"/>
      <c r="J75" s="191"/>
    </row>
    <row r="76" spans="1:10" s="125" customFormat="1" ht="12.75">
      <c r="A76" s="121"/>
      <c r="B76" s="159" t="str">
        <f>'WJ III COG'!D104&amp;"  SS= "&amp;G76&amp;" RPI="&amp;F76&amp;"/90"</f>
        <v>Number Matrices (RQ)  SS=  RPI=0/90</v>
      </c>
      <c r="C76" s="159">
        <f>IF(F76="","",F76)</f>
        <v>0</v>
      </c>
      <c r="D76" s="159">
        <f>IF(F76="","",1)</f>
        <v>1</v>
      </c>
      <c r="E76" s="159">
        <f>IF(F76="","",100-(C76+D76))</f>
        <v>99</v>
      </c>
      <c r="F76" s="159">
        <f>'WJ III COG'!F18</f>
        <v>0</v>
      </c>
      <c r="G76" s="159">
        <f>'WJ III COG'!E104</f>
      </c>
      <c r="H76" s="159">
        <v>26</v>
      </c>
      <c r="I76" s="139"/>
      <c r="J76" s="191"/>
    </row>
    <row r="77" spans="1:10" s="125" customFormat="1" ht="12.75">
      <c r="A77" s="121"/>
      <c r="B77" s="159" t="str">
        <f>'WJ III COG'!D103&amp;"  SS= "&amp;G77&amp;" RPI="&amp;F77&amp;"/90"</f>
        <v>Analysis-Synthesis (RG)  SS= 107 RPI=0/90</v>
      </c>
      <c r="C77" s="159">
        <f>IF(F77="","",F77)</f>
        <v>0</v>
      </c>
      <c r="D77" s="159">
        <f>IF(F77="","",1)</f>
        <v>1</v>
      </c>
      <c r="E77" s="159">
        <f>IF(F77="","",100-(C77+D77))</f>
        <v>99</v>
      </c>
      <c r="F77" s="159">
        <f>'WJ III COG'!F14</f>
        <v>0</v>
      </c>
      <c r="G77" s="159">
        <f>'WJ III COG'!E103</f>
        <v>107</v>
      </c>
      <c r="H77" s="159">
        <v>12</v>
      </c>
      <c r="I77" s="139"/>
      <c r="J77" s="191"/>
    </row>
    <row r="78" spans="1:10" s="125" customFormat="1" ht="12.75">
      <c r="A78" s="121"/>
      <c r="B78" s="159" t="str">
        <f>'WJ III COG'!D102&amp;"  SS= "&amp;G78&amp;" RPI="&amp;F78&amp;"/90"</f>
        <v>Concept Formation (I)  SS= 105 RPI=0/90</v>
      </c>
      <c r="C78" s="159">
        <f>IF(F78="","",F78)</f>
        <v>0</v>
      </c>
      <c r="D78" s="159">
        <f>IF(F78="","",1)</f>
        <v>1</v>
      </c>
      <c r="E78" s="159">
        <f>IF(F78="","",100-(C78+D78))</f>
        <v>99</v>
      </c>
      <c r="F78" s="159">
        <f>'WJ III COG'!F10</f>
        <v>0</v>
      </c>
      <c r="G78" s="159">
        <f>'WJ III COG'!E102</f>
        <v>105</v>
      </c>
      <c r="H78" s="159">
        <v>7</v>
      </c>
      <c r="I78" s="139"/>
      <c r="J78" s="191"/>
    </row>
    <row r="79" spans="1:10" s="125" customFormat="1" ht="12.75">
      <c r="A79" s="121"/>
      <c r="B79" s="160" t="str">
        <f>'WJ III COG'!D100&amp;"  SS= "&amp;G79&amp;" RPI="&amp;F79&amp;"/90"</f>
        <v>Fluid Reasoning (Gf)  SS= 107 RPI=0/90</v>
      </c>
      <c r="C79" s="159">
        <f>IF(F79="","",F79)</f>
        <v>0</v>
      </c>
      <c r="D79" s="159">
        <f>IF(F79="","",1)</f>
        <v>1</v>
      </c>
      <c r="E79" s="159">
        <f>IF(F79="","",100-(C79+D79))</f>
        <v>99</v>
      </c>
      <c r="F79" s="159">
        <f>'WJ III COG'!D40</f>
        <v>0</v>
      </c>
      <c r="G79" s="159">
        <f>'WJ III COG'!E100</f>
        <v>107</v>
      </c>
      <c r="H79" s="159">
        <v>9</v>
      </c>
      <c r="I79" s="139"/>
      <c r="J79" s="191"/>
    </row>
    <row r="80" spans="1:10" s="125" customFormat="1" ht="12.75">
      <c r="A80" s="121"/>
      <c r="B80" s="139"/>
      <c r="C80" s="139"/>
      <c r="D80" s="139"/>
      <c r="E80" s="139"/>
      <c r="F80" s="139"/>
      <c r="G80" s="139"/>
      <c r="H80" s="139"/>
      <c r="I80" s="139"/>
      <c r="J80" s="191"/>
    </row>
    <row r="81" spans="1:10" s="125" customFormat="1" ht="12.75">
      <c r="A81" s="121"/>
      <c r="B81" s="159" t="str">
        <f>'WJ III COG'!D95&amp;"  SS= "&amp;G81&amp;" RPI="&amp;F81&amp;"/90"</f>
        <v>Retrieval Fluency (FI)  SS= 117 RPI=0/90</v>
      </c>
      <c r="C81" s="159">
        <f>IF(F81="","",F81)</f>
        <v>0</v>
      </c>
      <c r="D81" s="159">
        <f>IF(F81="","",1)</f>
        <v>1</v>
      </c>
      <c r="E81" s="159">
        <f>IF(F81="","",100-(C81+D81))</f>
        <v>99</v>
      </c>
      <c r="F81" s="159">
        <f>'WJ III COG'!C14</f>
        <v>0</v>
      </c>
      <c r="G81" s="159">
        <f>'WJ III COG'!E95</f>
        <v>117</v>
      </c>
      <c r="H81" s="159">
        <v>12</v>
      </c>
      <c r="I81" s="139"/>
      <c r="J81" s="191"/>
    </row>
    <row r="82" spans="1:10" s="125" customFormat="1" ht="12.75">
      <c r="A82" s="121"/>
      <c r="B82" s="159" t="str">
        <f>'WJ III COG'!D94&amp;"  SS= "&amp;G82&amp;" RPI="&amp;F82&amp;"/90"</f>
        <v>Visual-Auditory Learning (MA)  SS= 74 RPI=0/90</v>
      </c>
      <c r="C82" s="159">
        <f>IF(F82="","",F82)</f>
        <v>0</v>
      </c>
      <c r="D82" s="159">
        <f>IF(F82="","",1)</f>
        <v>1</v>
      </c>
      <c r="E82" s="159">
        <f>IF(F82="","",100-(C82+D82))</f>
        <v>99</v>
      </c>
      <c r="F82" s="159">
        <f>'WJ III COG'!C10</f>
        <v>0</v>
      </c>
      <c r="G82" s="159">
        <f>'WJ III COG'!E94</f>
        <v>74</v>
      </c>
      <c r="H82" s="159">
        <v>11</v>
      </c>
      <c r="I82" s="139"/>
      <c r="J82" s="191"/>
    </row>
    <row r="83" spans="1:10" s="125" customFormat="1" ht="12.75">
      <c r="A83" s="121"/>
      <c r="B83" s="160" t="str">
        <f>'WJ III COG'!D92&amp;"  SS= "&amp;G83&amp;" RPI="&amp;F83&amp;"/90"</f>
        <v>Long-term Retrieval (Glr)  SS= 83 RPI=0/90</v>
      </c>
      <c r="C83" s="159">
        <f>IF(F83="","",F83)</f>
        <v>0</v>
      </c>
      <c r="D83" s="159">
        <f>IF(F83="","",1)</f>
        <v>1</v>
      </c>
      <c r="E83" s="159">
        <f>IF(F83="","",100-(C83+D83))</f>
        <v>99</v>
      </c>
      <c r="F83" s="198">
        <f>'WJ III COG'!D36</f>
        <v>0</v>
      </c>
      <c r="G83" s="159">
        <f>'WJ III COG'!E92</f>
        <v>83</v>
      </c>
      <c r="H83" s="159">
        <v>9</v>
      </c>
      <c r="I83" s="139"/>
      <c r="J83" s="191"/>
    </row>
    <row r="84" spans="1:10" s="125" customFormat="1" ht="12.75">
      <c r="A84" s="121"/>
      <c r="B84" s="139"/>
      <c r="C84" s="139"/>
      <c r="D84" s="139"/>
      <c r="E84" s="139"/>
      <c r="F84" s="139"/>
      <c r="G84" s="139"/>
      <c r="H84" s="139"/>
      <c r="I84" s="139"/>
      <c r="J84" s="191"/>
    </row>
    <row r="85" spans="1:10" s="125" customFormat="1" ht="12.75">
      <c r="A85" s="121"/>
      <c r="B85" s="159" t="str">
        <f>'WJ III COG'!D88&amp;"  SS= "&amp;G85&amp;" RPI="&amp;F85&amp;"/90"</f>
        <v>Incomplete Words (PC-A)  SS= 115 RPI=0/90</v>
      </c>
      <c r="C85" s="159">
        <f>IF(F85="","",F85)</f>
        <v>0</v>
      </c>
      <c r="D85" s="159">
        <f>IF(F85="","",1)</f>
        <v>1</v>
      </c>
      <c r="E85" s="159">
        <f>IF(F85="","",100-(C85+D85))</f>
        <v>99</v>
      </c>
      <c r="F85" s="159">
        <f>'WJ III COG'!I10</f>
        <v>0</v>
      </c>
      <c r="G85" s="159">
        <f>'WJ III COG'!E88</f>
        <v>115</v>
      </c>
      <c r="H85" s="159">
        <v>14</v>
      </c>
      <c r="I85" s="139"/>
      <c r="J85" s="191"/>
    </row>
    <row r="86" spans="1:10" s="125" customFormat="1" ht="12.75">
      <c r="A86" s="121"/>
      <c r="B86" s="159" t="str">
        <f>'WJ III COG'!D87&amp;"  SS= "&amp;G86&amp;" RPI="&amp;F86&amp;"/90"</f>
        <v>Auditory Attention (UR, US)  SS= 101 RPI=0/90</v>
      </c>
      <c r="C86" s="159">
        <f>IF(F86="","",F86)</f>
        <v>0</v>
      </c>
      <c r="D86" s="159">
        <f>IF(F86="","",1)</f>
        <v>1</v>
      </c>
      <c r="E86" s="159">
        <f>IF(F86="","",100-(C86+D86))</f>
        <v>99</v>
      </c>
      <c r="F86" s="159">
        <f>'WJ III COG'!E14</f>
        <v>0</v>
      </c>
      <c r="G86" s="159">
        <f>'WJ III COG'!E87</f>
        <v>101</v>
      </c>
      <c r="H86" s="159">
        <v>12</v>
      </c>
      <c r="I86" s="139"/>
      <c r="J86" s="191"/>
    </row>
    <row r="87" spans="1:10" s="125" customFormat="1" ht="12.75">
      <c r="A87" s="121"/>
      <c r="B87" s="159" t="str">
        <f>'WJ III COG'!D86&amp;"  SS= "&amp;G87&amp;" RPI="&amp;F87&amp;"/90"</f>
        <v>Sound Blending (PC-S)  SS= 122 RPI=0/90</v>
      </c>
      <c r="C87" s="159">
        <f>IF(F87="","",F87)</f>
        <v>0</v>
      </c>
      <c r="D87" s="159">
        <f>IF(F87="","",1)</f>
        <v>1</v>
      </c>
      <c r="E87" s="159">
        <f>IF(F87="","",100-(C87+D87))</f>
        <v>99</v>
      </c>
      <c r="F87" s="159">
        <f>'WJ III COG'!E10</f>
        <v>0</v>
      </c>
      <c r="G87" s="159">
        <f>'WJ III COG'!E86</f>
        <v>122</v>
      </c>
      <c r="H87" s="159">
        <v>12</v>
      </c>
      <c r="I87" s="139"/>
      <c r="J87" s="191"/>
    </row>
    <row r="88" spans="1:10" s="125" customFormat="1" ht="12.75">
      <c r="A88" s="121"/>
      <c r="B88" s="160" t="str">
        <f>'WJ III COG'!D84&amp;"  SS= "&amp;G88&amp;" RPI="&amp;F88&amp;"/90"</f>
        <v>Auditory Processing (Ga)  SS= 114 RPI=0/90</v>
      </c>
      <c r="C88" s="159">
        <f>IF(F88="","",F88)</f>
        <v>0</v>
      </c>
      <c r="D88" s="159">
        <f>IF(F88="","",1)</f>
        <v>1</v>
      </c>
      <c r="E88" s="159">
        <f>IF(F88="","",100-(C88+D88))</f>
        <v>99</v>
      </c>
      <c r="F88" s="159">
        <f>'WJ III COG'!D39</f>
        <v>0</v>
      </c>
      <c r="G88" s="159">
        <f>'WJ III COG'!E84</f>
        <v>114</v>
      </c>
      <c r="H88" s="159">
        <v>11</v>
      </c>
      <c r="I88" s="139"/>
      <c r="J88" s="191"/>
    </row>
    <row r="89" spans="1:10" s="125" customFormat="1" ht="12.75">
      <c r="A89" s="121"/>
      <c r="B89" s="139"/>
      <c r="C89" s="139"/>
      <c r="D89" s="139"/>
      <c r="E89" s="139"/>
      <c r="F89" s="139"/>
      <c r="G89" s="139"/>
      <c r="H89" s="139"/>
      <c r="I89" s="139"/>
      <c r="J89" s="191"/>
    </row>
    <row r="90" spans="1:10" s="125" customFormat="1" ht="12.75">
      <c r="A90" s="121"/>
      <c r="B90" s="159" t="str">
        <f>'WJ III COG'!D80&amp;"  SS= "&amp;G90&amp;" RPI="&amp;F90&amp;"/90"</f>
        <v>Planning (Rs)  SS= 111 RPI=0/90</v>
      </c>
      <c r="C90" s="159">
        <f>IF(F90="","",F90)</f>
        <v>0</v>
      </c>
      <c r="D90" s="159">
        <f>IF(F90="","",1)</f>
        <v>1</v>
      </c>
      <c r="E90" s="159">
        <f>IF(F90="","",100-(C90+D90))</f>
        <v>99</v>
      </c>
      <c r="F90" s="159">
        <f>'WJ III COG'!J14</f>
        <v>0</v>
      </c>
      <c r="G90" s="159">
        <f>'WJ III COG'!E80</f>
        <v>111</v>
      </c>
      <c r="H90" s="159">
        <v>25</v>
      </c>
      <c r="I90" s="139"/>
      <c r="J90" s="191"/>
    </row>
    <row r="91" spans="1:10" s="125" customFormat="1" ht="12.75">
      <c r="A91" s="121"/>
      <c r="B91" s="159" t="str">
        <f>'WJ III COG'!D79&amp;"  SS= "&amp;G91&amp;" RPI="&amp;F91&amp;"/90"</f>
        <v>Visual Closure (CS)  SS=  RPI=0/90</v>
      </c>
      <c r="C91" s="159">
        <f>IF(F91="","",F91)</f>
        <v>0</v>
      </c>
      <c r="D91" s="159">
        <f>IF(F91="","",1)</f>
        <v>1</v>
      </c>
      <c r="E91" s="159">
        <f>IF(F91="","",100-(C91+D91))</f>
        <v>99</v>
      </c>
      <c r="F91" s="159">
        <f>'WJ III COG'!C18</f>
        <v>0</v>
      </c>
      <c r="G91" s="159">
        <f>'WJ III COG'!E79</f>
      </c>
      <c r="H91" s="159">
        <v>26</v>
      </c>
      <c r="I91" s="139"/>
      <c r="J91" s="191"/>
    </row>
    <row r="92" spans="1:10" s="125" customFormat="1" ht="12.75">
      <c r="A92" s="121"/>
      <c r="B92" s="159" t="str">
        <f>'WJ III COG'!D78&amp;"  SS= "&amp;G92&amp;" RPI="&amp;F92&amp;"/90"</f>
        <v>Picture Recognition (MV)  SS= 99 RPI=0/90</v>
      </c>
      <c r="C92" s="159">
        <f>IF(F92="","",F92)</f>
        <v>0</v>
      </c>
      <c r="D92" s="159">
        <f>IF(F92="","",1)</f>
        <v>1</v>
      </c>
      <c r="E92" s="159">
        <f>IF(F92="","",100-(C92+D92))</f>
        <v>99</v>
      </c>
      <c r="F92" s="159">
        <f>'WJ III COG'!D14</f>
        <v>0</v>
      </c>
      <c r="G92" s="159">
        <f>'WJ III COG'!E78</f>
        <v>99</v>
      </c>
      <c r="H92" s="159">
        <v>11</v>
      </c>
      <c r="I92" s="139"/>
      <c r="J92" s="191"/>
    </row>
    <row r="93" spans="1:10" s="125" customFormat="1" ht="12.75">
      <c r="A93" s="121"/>
      <c r="B93" s="159" t="str">
        <f>'WJ III COG'!D77&amp;"  SS= "&amp;G93&amp;" RPI="&amp;F93&amp;"/90"</f>
        <v>Spatial Relations (VZ, SR)  SS= 92 RPI=0/90</v>
      </c>
      <c r="C93" s="159">
        <f>IF(F93="","",F93)</f>
        <v>0</v>
      </c>
      <c r="D93" s="159">
        <f>IF(F93="","",1)</f>
        <v>1</v>
      </c>
      <c r="E93" s="159">
        <f>IF(F93="","",100-(C93+D93))</f>
        <v>99</v>
      </c>
      <c r="F93" s="159">
        <f>'WJ III COG'!D10</f>
        <v>0</v>
      </c>
      <c r="G93" s="159">
        <f>'WJ III COG'!E77</f>
        <v>92</v>
      </c>
      <c r="H93" s="159">
        <v>9</v>
      </c>
      <c r="I93" s="139"/>
      <c r="J93" s="191"/>
    </row>
    <row r="94" spans="1:11" ht="12.75">
      <c r="A94" s="121"/>
      <c r="B94" s="160" t="str">
        <f>'WJ III COG'!D75&amp;"  SS= "&amp;G94&amp;" RPI="&amp;F94&amp;"/90"</f>
        <v>Visual Processing (Gv)  SS= 94 RPI=0/90</v>
      </c>
      <c r="C94" s="159">
        <f>IF(F94="","",F94)</f>
        <v>0</v>
      </c>
      <c r="D94" s="159">
        <f>IF(F94="","",1)</f>
        <v>1</v>
      </c>
      <c r="E94" s="159">
        <f>IF(F94="","",100-(C94+D94))</f>
        <v>99</v>
      </c>
      <c r="F94" s="198">
        <f>'WJ III COG'!D37</f>
        <v>0</v>
      </c>
      <c r="G94" s="159">
        <f>'WJ III COG'!E75</f>
        <v>94</v>
      </c>
      <c r="H94" s="159">
        <v>9</v>
      </c>
      <c r="I94" s="139"/>
      <c r="J94" s="191"/>
      <c r="K94" s="125"/>
    </row>
    <row r="95" spans="1:11" ht="12.75">
      <c r="A95" s="121"/>
      <c r="B95" s="139"/>
      <c r="C95" s="139"/>
      <c r="D95" s="139"/>
      <c r="E95" s="139"/>
      <c r="F95" s="139"/>
      <c r="G95" s="139"/>
      <c r="H95" s="139"/>
      <c r="I95" s="139"/>
      <c r="J95" s="191"/>
      <c r="K95" s="125"/>
    </row>
    <row r="96" spans="1:11" ht="12.75">
      <c r="A96" s="121"/>
      <c r="B96" s="159" t="str">
        <f>'WJ III COG'!D71&amp;"  SS= "&amp;G96&amp;" RPI="&amp;F96&amp;"/90"</f>
        <v>Auditory Working Memory (MW)  SS= 115 RPI=0/90</v>
      </c>
      <c r="C96" s="159">
        <f>IF(F96="","",F96)</f>
        <v>0</v>
      </c>
      <c r="D96" s="159">
        <f>IF(F96="","",1)</f>
        <v>1</v>
      </c>
      <c r="E96" s="159">
        <f>IF(F96="","",100-(C96+D96))</f>
        <v>99</v>
      </c>
      <c r="F96" s="159">
        <f>'WJ III COG'!J10</f>
        <v>0</v>
      </c>
      <c r="G96" s="159">
        <f>'WJ III COG'!E71</f>
        <v>115</v>
      </c>
      <c r="H96" s="159">
        <v>9</v>
      </c>
      <c r="I96" s="139"/>
      <c r="J96" s="191"/>
      <c r="K96" s="125"/>
    </row>
    <row r="97" spans="1:11" ht="12.75">
      <c r="A97" s="121"/>
      <c r="B97" s="159" t="str">
        <f>'WJ III COG'!D70&amp;"  SS= "&amp;G97&amp;" RPI="&amp;F97&amp;"/90"</f>
        <v>Memory for Words (MS)  SS= 120 RPI=0/90</v>
      </c>
      <c r="C97" s="159">
        <f>IF(F97="","",F97)</f>
        <v>0</v>
      </c>
      <c r="D97" s="159">
        <f>IF(F97="","",1)</f>
        <v>1</v>
      </c>
      <c r="E97" s="159">
        <f>IF(F97="","",100-(C97+D97))</f>
        <v>99</v>
      </c>
      <c r="F97" s="159">
        <f>'WJ III COG'!H14</f>
        <v>0</v>
      </c>
      <c r="G97" s="159">
        <f>'WJ III COG'!E70</f>
        <v>120</v>
      </c>
      <c r="H97" s="159">
        <v>14</v>
      </c>
      <c r="I97" s="139"/>
      <c r="J97" s="191"/>
      <c r="K97" s="125"/>
    </row>
    <row r="98" spans="1:11" ht="12.75">
      <c r="A98" s="121"/>
      <c r="B98" s="159" t="str">
        <f>'WJ III COG'!D69&amp;"  SS= "&amp;G98&amp;" RPI="&amp;F98&amp;"/90"</f>
        <v>Numbers Reversed (MW)  SS= 80 RPI=0/90</v>
      </c>
      <c r="C98" s="159">
        <f>IF(F98="","",F98)</f>
        <v>0</v>
      </c>
      <c r="D98" s="159">
        <f>IF(F98="","",1)</f>
        <v>1</v>
      </c>
      <c r="E98" s="159">
        <f>IF(F98="","",100-(C98+D98))</f>
        <v>99</v>
      </c>
      <c r="F98" s="159">
        <f>'WJ III COG'!H10</f>
        <v>0</v>
      </c>
      <c r="G98" s="159">
        <f>'WJ III COG'!E69</f>
        <v>80</v>
      </c>
      <c r="H98" s="159">
        <v>11</v>
      </c>
      <c r="I98" s="139"/>
      <c r="J98" s="191"/>
      <c r="K98" s="125"/>
    </row>
    <row r="99" spans="1:11" ht="12.75">
      <c r="A99" s="121"/>
      <c r="B99" s="160" t="str">
        <f>'WJ III COG'!D67&amp;"  SS= "&amp;G99&amp;" RPI="&amp;F99&amp;"/90"</f>
        <v>Short-term Memory (Gsm)  SS= 100 RPI=0/90</v>
      </c>
      <c r="C99" s="159">
        <f>IF(F99="","",F99)</f>
        <v>0</v>
      </c>
      <c r="D99" s="159">
        <f>IF(F99="","",1)</f>
        <v>1</v>
      </c>
      <c r="E99" s="159">
        <f>IF(F99="","",100-(C99+D99))</f>
        <v>99</v>
      </c>
      <c r="F99" s="159">
        <f>'WJ III COG'!D43</f>
        <v>0</v>
      </c>
      <c r="G99" s="159">
        <f>'WJ III COG'!E67</f>
        <v>100</v>
      </c>
      <c r="H99" s="159">
        <v>10</v>
      </c>
      <c r="I99" s="139"/>
      <c r="J99" s="191"/>
      <c r="K99" s="125"/>
    </row>
    <row r="100" spans="1:11" ht="12.75">
      <c r="A100" s="121"/>
      <c r="B100" s="139"/>
      <c r="C100" s="139"/>
      <c r="D100" s="139"/>
      <c r="E100" s="139"/>
      <c r="F100" s="139"/>
      <c r="G100" s="139"/>
      <c r="H100" s="139"/>
      <c r="I100" s="139"/>
      <c r="J100" s="191"/>
      <c r="K100" s="125"/>
    </row>
    <row r="101" spans="1:11" ht="12.75">
      <c r="A101" s="121"/>
      <c r="B101" s="159" t="str">
        <f>'WJ III COG'!D63&amp;"  SS= "&amp;G101&amp;" RPI="&amp;F101&amp;"/90"</f>
        <v>General Information (K0)  SS= 113 RPI=0/90</v>
      </c>
      <c r="C101" s="159">
        <f>IF(F101="","",F101)</f>
        <v>0</v>
      </c>
      <c r="D101" s="159">
        <f>IF(F101="","",1)</f>
        <v>1</v>
      </c>
      <c r="E101" s="159">
        <f>IF(F101="","",100-(C101+D101))</f>
        <v>99</v>
      </c>
      <c r="F101" s="159">
        <f>'WJ III COG'!B14</f>
        <v>0</v>
      </c>
      <c r="G101" s="159">
        <f>'WJ III COG'!E63</f>
        <v>113</v>
      </c>
      <c r="H101" s="159">
        <v>12</v>
      </c>
      <c r="I101" s="139"/>
      <c r="J101" s="191"/>
      <c r="K101" s="125"/>
    </row>
    <row r="102" spans="1:11" ht="12.75">
      <c r="A102" s="121"/>
      <c r="B102" s="159" t="str">
        <f>'WJ III COG'!D62&amp;"  SS= "&amp;G102&amp;" RPI="&amp;F102&amp;"/90"</f>
        <v>Verbal Comprehension (LK, LD)  SS= 115 RPI=0/90</v>
      </c>
      <c r="C102" s="159">
        <f>IF(F102="","",F102)</f>
        <v>0</v>
      </c>
      <c r="D102" s="159">
        <f>IF(F102="","",1)</f>
        <v>1</v>
      </c>
      <c r="E102" s="159">
        <f>IF(F102="","",100-(C102+D102))</f>
        <v>99</v>
      </c>
      <c r="F102" s="159">
        <f>'WJ III COG'!B10</f>
        <v>0</v>
      </c>
      <c r="G102" s="159">
        <f>'WJ III COG'!E62</f>
        <v>115</v>
      </c>
      <c r="H102" s="159">
        <v>11</v>
      </c>
      <c r="I102" s="139"/>
      <c r="J102" s="191"/>
      <c r="K102" s="125"/>
    </row>
    <row r="103" spans="1:11" ht="12.75">
      <c r="A103" s="121"/>
      <c r="B103" s="160" t="str">
        <f>'WJ III COG'!D60&amp;"  SS= "&amp;G103&amp;" RPI="&amp;F103&amp;"/90"</f>
        <v>Comprehension-Knowledge (Gc)  SS= 115 RPI=0/90</v>
      </c>
      <c r="C103" s="159">
        <f>IF(F103="","",F103)</f>
        <v>0</v>
      </c>
      <c r="D103" s="159">
        <f>IF(F103="","",1)</f>
        <v>1</v>
      </c>
      <c r="E103" s="159">
        <f>IF(F103="","",100-(C103+D103))</f>
        <v>99</v>
      </c>
      <c r="F103" s="159">
        <f>'WJ III COG'!D35</f>
        <v>0</v>
      </c>
      <c r="G103" s="159">
        <f>'WJ III COG'!E60</f>
        <v>115</v>
      </c>
      <c r="H103" s="159">
        <v>9</v>
      </c>
      <c r="I103" s="139"/>
      <c r="J103" s="191"/>
      <c r="K103" s="125"/>
    </row>
    <row r="104" spans="1:11" ht="12.75">
      <c r="A104" s="121"/>
      <c r="B104" s="139"/>
      <c r="C104" s="139"/>
      <c r="D104" s="139"/>
      <c r="E104" s="139"/>
      <c r="F104" s="139"/>
      <c r="G104" s="139"/>
      <c r="H104" s="139"/>
      <c r="I104" s="139"/>
      <c r="J104" s="191"/>
      <c r="K104" s="125"/>
    </row>
    <row r="105" spans="1:11" ht="12.75">
      <c r="A105" s="125"/>
      <c r="B105" s="191"/>
      <c r="C105" s="191"/>
      <c r="D105" s="191"/>
      <c r="E105" s="191"/>
      <c r="F105" s="191"/>
      <c r="G105" s="191"/>
      <c r="H105" s="191"/>
      <c r="I105" s="191"/>
      <c r="J105" s="191"/>
      <c r="K105" s="125"/>
    </row>
    <row r="106" spans="1:11" ht="12.75">
      <c r="A106" s="125"/>
      <c r="B106" s="191"/>
      <c r="C106" s="191"/>
      <c r="D106" s="191"/>
      <c r="E106" s="191"/>
      <c r="F106" s="191"/>
      <c r="G106" s="191"/>
      <c r="H106" s="191"/>
      <c r="I106" s="191"/>
      <c r="J106" s="191"/>
      <c r="K106" s="125"/>
    </row>
    <row r="107" spans="1:11" ht="12.75">
      <c r="A107" s="125"/>
      <c r="B107" s="125"/>
      <c r="C107" s="125"/>
      <c r="D107" s="125"/>
      <c r="E107" s="125"/>
      <c r="F107" s="125"/>
      <c r="G107" s="125"/>
      <c r="H107" s="125"/>
      <c r="I107" s="125"/>
      <c r="J107" s="125"/>
      <c r="K107" s="125"/>
    </row>
    <row r="108" spans="1:11" ht="12.75">
      <c r="A108" s="125"/>
      <c r="B108" s="125"/>
      <c r="C108" s="125"/>
      <c r="D108" s="125"/>
      <c r="E108" s="125"/>
      <c r="F108" s="125"/>
      <c r="G108" s="125"/>
      <c r="H108" s="125"/>
      <c r="I108" s="125"/>
      <c r="J108" s="125"/>
      <c r="K108" s="125"/>
    </row>
    <row r="109" spans="1:11" ht="12.75">
      <c r="A109" s="125"/>
      <c r="B109" s="125"/>
      <c r="C109" s="125"/>
      <c r="D109" s="125"/>
      <c r="E109" s="125"/>
      <c r="F109" s="125"/>
      <c r="G109" s="125"/>
      <c r="H109" s="125"/>
      <c r="I109" s="125"/>
      <c r="J109" s="125"/>
      <c r="K109" s="125"/>
    </row>
    <row r="110" spans="1:11" ht="12.75">
      <c r="A110" s="125"/>
      <c r="B110" s="125"/>
      <c r="C110" s="125"/>
      <c r="D110" s="125"/>
      <c r="E110" s="125"/>
      <c r="F110" s="125"/>
      <c r="G110" s="125"/>
      <c r="H110" s="125"/>
      <c r="I110" s="125"/>
      <c r="J110" s="125"/>
      <c r="K110" s="125"/>
    </row>
    <row r="111" spans="1:11" ht="12.75">
      <c r="A111" s="125"/>
      <c r="B111" s="125"/>
      <c r="C111" s="125"/>
      <c r="D111" s="125"/>
      <c r="E111" s="125"/>
      <c r="F111" s="125"/>
      <c r="G111" s="125"/>
      <c r="H111" s="125"/>
      <c r="I111" s="125"/>
      <c r="J111" s="125"/>
      <c r="K111" s="125"/>
    </row>
  </sheetData>
  <sheetProtection password="8D61" sheet="1" objects="1" scenarios="1"/>
  <printOptions horizontalCentered="1" verticalCentered="1"/>
  <pageMargins left="0" right="0" top="0" bottom="0" header="0.5" footer="0.5"/>
  <pageSetup horizontalDpi="300" verticalDpi="300" orientation="landscape" scale="90" r:id="rId2"/>
  <headerFooter alignWithMargins="0">
    <oddHeader>&amp;C&amp;"Arial,Bold"&amp;16WJ III ™ Cognitive RPI Profile</oddHeader>
    <oddFooter>&amp;L&amp;8Woodcock-Johnson III by Richard W. Woodcock, Kevin S. McGrew, and Nancy Mather © Riverside Publishing, 2001.
All rights Reserved&amp;R&amp;8Page  &amp;P   
Template created by Ron Dumont and John Willis</oddFooter>
  </headerFooter>
  <rowBreaks count="2" manualBreakCount="2">
    <brk id="42" max="255" man="1"/>
    <brk id="48" max="255" man="1"/>
  </rowBreaks>
  <drawing r:id="rId1"/>
</worksheet>
</file>

<file path=xl/worksheets/sheet7.xml><?xml version="1.0" encoding="utf-8"?>
<worksheet xmlns="http://schemas.openxmlformats.org/spreadsheetml/2006/main" xmlns:r="http://schemas.openxmlformats.org/officeDocument/2006/relationships">
  <dimension ref="A4:O54"/>
  <sheetViews>
    <sheetView showGridLines="0" zoomScalePageLayoutView="0" workbookViewId="0" topLeftCell="A1">
      <selection activeCell="C10" sqref="C10"/>
    </sheetView>
  </sheetViews>
  <sheetFormatPr defaultColWidth="8.75390625" defaultRowHeight="12.75"/>
  <cols>
    <col min="1" max="1" width="23.25390625" style="0" customWidth="1"/>
    <col min="2" max="2" width="18.25390625" style="0" customWidth="1"/>
    <col min="3" max="3" width="23.25390625" style="0" customWidth="1"/>
    <col min="4" max="4" width="37.25390625" style="0" customWidth="1"/>
    <col min="5" max="5" width="5.375" style="0" customWidth="1"/>
    <col min="6" max="6" width="28.75390625" style="0" hidden="1" customWidth="1"/>
    <col min="7" max="7" width="4.00390625" style="0" hidden="1" customWidth="1"/>
    <col min="8" max="8" width="5.125" style="0" hidden="1" customWidth="1"/>
    <col min="9" max="9" width="83.125" style="0" hidden="1" customWidth="1"/>
    <col min="10" max="12" width="3.00390625" style="0" hidden="1" customWidth="1"/>
    <col min="13" max="15" width="4.00390625" style="0" hidden="1" customWidth="1"/>
    <col min="16" max="17" width="5.375" style="0" hidden="1" customWidth="1"/>
    <col min="18" max="19" width="8.75390625" style="0" hidden="1" customWidth="1"/>
  </cols>
  <sheetData>
    <row r="1" ht="11.25" customHeight="1"/>
    <row r="2" ht="12.75" hidden="1"/>
    <row r="3" ht="12.75" hidden="1"/>
    <row r="4" spans="1:4" ht="24">
      <c r="A4" s="113"/>
      <c r="B4" s="113"/>
      <c r="C4" s="114" t="s">
        <v>260</v>
      </c>
      <c r="D4" s="114" t="s">
        <v>330</v>
      </c>
    </row>
    <row r="5" spans="1:4" ht="49.5" customHeight="1">
      <c r="A5" s="115" t="s">
        <v>180</v>
      </c>
      <c r="B5" s="119" t="s">
        <v>331</v>
      </c>
      <c r="C5" s="116">
        <f>I16</f>
      </c>
      <c r="D5" s="117">
        <f>I24</f>
      </c>
    </row>
    <row r="6" spans="1:4" ht="49.5" customHeight="1">
      <c r="A6" s="115" t="s">
        <v>179</v>
      </c>
      <c r="B6" s="119" t="s">
        <v>323</v>
      </c>
      <c r="C6" s="116">
        <f aca="true" t="shared" si="0" ref="C6:C11">I17</f>
      </c>
      <c r="D6" s="117" t="str">
        <f aca="true" t="shared" si="1" ref="D6:D11">I25</f>
        <v>Phonemic Awareness </v>
      </c>
    </row>
    <row r="7" spans="1:4" ht="49.5" customHeight="1">
      <c r="A7" s="115" t="s">
        <v>178</v>
      </c>
      <c r="B7" s="119" t="s">
        <v>324</v>
      </c>
      <c r="C7" s="116" t="str">
        <f>I18</f>
        <v>Gc Ga </v>
      </c>
      <c r="D7" s="117" t="str">
        <f t="shared" si="1"/>
        <v>Verbal Ability </v>
      </c>
    </row>
    <row r="8" spans="1:4" ht="49.5" customHeight="1">
      <c r="A8" s="115" t="s">
        <v>177</v>
      </c>
      <c r="B8" s="119" t="s">
        <v>325</v>
      </c>
      <c r="C8" s="116" t="str">
        <f t="shared" si="0"/>
        <v>Gv Gf Gs Gsm </v>
      </c>
      <c r="D8" s="117" t="str">
        <f t="shared" si="1"/>
        <v>Working Memory Executive Processes GIA Thinking Ability Cognitive Efficiency </v>
      </c>
    </row>
    <row r="9" spans="1:4" ht="49.5" customHeight="1">
      <c r="A9" s="115" t="s">
        <v>176</v>
      </c>
      <c r="B9" s="119" t="s">
        <v>326</v>
      </c>
      <c r="C9" s="116" t="str">
        <f t="shared" si="0"/>
        <v>Glr </v>
      </c>
      <c r="D9" s="117" t="str">
        <f t="shared" si="1"/>
        <v>Broad Attention Cognitive Fluency </v>
      </c>
    </row>
    <row r="10" spans="1:4" ht="49.5" customHeight="1">
      <c r="A10" s="115" t="s">
        <v>175</v>
      </c>
      <c r="B10" s="119" t="s">
        <v>327</v>
      </c>
      <c r="C10" s="116">
        <f t="shared" si="0"/>
      </c>
      <c r="D10" s="117">
        <f t="shared" si="1"/>
      </c>
    </row>
    <row r="11" spans="1:4" ht="49.5" customHeight="1">
      <c r="A11" s="115" t="s">
        <v>322</v>
      </c>
      <c r="B11" s="119" t="s">
        <v>328</v>
      </c>
      <c r="C11" s="116">
        <f t="shared" si="0"/>
      </c>
      <c r="D11" s="117">
        <f t="shared" si="1"/>
      </c>
    </row>
    <row r="12" spans="1:4" ht="49.5" customHeight="1">
      <c r="A12" s="115"/>
      <c r="B12" s="119" t="s">
        <v>329</v>
      </c>
      <c r="C12" s="116">
        <f>I23</f>
      </c>
      <c r="D12" s="118"/>
    </row>
    <row r="16" spans="6:9" ht="12.75">
      <c r="F16" t="str">
        <f>'WJ III COG'!B35</f>
        <v>Comprehension-Knowledge (Gc):</v>
      </c>
      <c r="G16">
        <f>'WJ III COG'!C35</f>
        <v>115</v>
      </c>
      <c r="H16" s="112">
        <f>LOOKUP(G16,level)</f>
        <v>6</v>
      </c>
      <c r="I16">
        <f>IF(H16=8,"Gc ","")&amp;IF(H17=8,"Glr ","")&amp;IF(H18=8,"Gv ","")&amp;IF(H19=8,"Ga ","")&amp;IF(H20=8,"Gf ","")&amp;IF(H21=8,"Gs ","")&amp;IF(H22=8,"Gsm ","")</f>
      </c>
    </row>
    <row r="17" spans="6:9" ht="12.75">
      <c r="F17" t="str">
        <f>'WJ III COG'!B36</f>
        <v>Long-term Retrieval (Glr):</v>
      </c>
      <c r="G17">
        <f>'WJ III COG'!C36</f>
        <v>83</v>
      </c>
      <c r="H17" s="112">
        <f aca="true" t="shared" si="2" ref="H17:H31">LOOKUP(G17,level)</f>
        <v>4</v>
      </c>
      <c r="I17">
        <f>IF(H16=7,"Gc ","")&amp;IF(H17=7,"Glr ","")&amp;IF(H18=7,"Gv ","")&amp;IF(H19=7,"Ga ","")&amp;IF(H20=7,"Gf ","")&amp;IF(H21=7,"Gs ","")&amp;IF(H22=7,"Gsm ","")</f>
      </c>
    </row>
    <row r="18" spans="1:9" ht="50.25" customHeight="1">
      <c r="A18" s="127" t="s">
        <v>285</v>
      </c>
      <c r="B18" s="127" t="s">
        <v>295</v>
      </c>
      <c r="C18" s="114" t="s">
        <v>260</v>
      </c>
      <c r="D18" s="114" t="s">
        <v>330</v>
      </c>
      <c r="F18" t="str">
        <f>'WJ III COG'!B37</f>
        <v>Visual Spatial Thinking (Gv):</v>
      </c>
      <c r="G18">
        <f>'WJ III COG'!C37</f>
        <v>94</v>
      </c>
      <c r="H18" s="112">
        <f t="shared" si="2"/>
        <v>5</v>
      </c>
      <c r="I18" t="str">
        <f>IF(H16=6,"Gc ","")&amp;IF(H17=6,"Glr ","")&amp;IF(H18=6,"Gv ","")&amp;IF(H19=6,"Ga ","")&amp;IF(H20=6,"Gf ","")&amp;IF(H21=6,"Gs ","")&amp;IF(H22=6,"Gsm ","")</f>
        <v>Gc Ga </v>
      </c>
    </row>
    <row r="19" spans="1:9" ht="50.25" customHeight="1">
      <c r="A19" s="119" t="s">
        <v>286</v>
      </c>
      <c r="B19" s="131" t="s">
        <v>290</v>
      </c>
      <c r="C19" s="116">
        <f>I39</f>
      </c>
      <c r="D19" s="117">
        <f>I46</f>
      </c>
      <c r="F19" t="str">
        <f>'WJ III COG'!B39</f>
        <v>Auditory Processing (Ga):</v>
      </c>
      <c r="G19">
        <f>'WJ III COG'!C39</f>
        <v>114</v>
      </c>
      <c r="H19" s="112">
        <f t="shared" si="2"/>
        <v>6</v>
      </c>
      <c r="I19" t="str">
        <f>IF(H16=5,"Gc ","")&amp;IF(H17=5,"Glr ","")&amp;IF(H18=5,"Gv ","")&amp;IF(H19=5,"Ga ","")&amp;IF(H20=5,"Gf ","")&amp;IF(H21=5,"Gs ","")&amp;IF(H22=5,"Gsm ","")</f>
        <v>Gv Gf Gs Gsm </v>
      </c>
    </row>
    <row r="20" spans="1:9" ht="50.25" customHeight="1">
      <c r="A20" s="119" t="s">
        <v>287</v>
      </c>
      <c r="B20" s="119" t="s">
        <v>177</v>
      </c>
      <c r="C20" s="116">
        <f>I40</f>
      </c>
      <c r="D20" s="117">
        <f>I47</f>
      </c>
      <c r="F20" t="str">
        <f>'WJ III COG'!B40</f>
        <v>Fluid Reasoning (Gf):</v>
      </c>
      <c r="G20">
        <f>'WJ III COG'!C40</f>
        <v>107</v>
      </c>
      <c r="H20" s="112">
        <f t="shared" si="2"/>
        <v>5</v>
      </c>
      <c r="I20" t="str">
        <f>IF(H16=4,"Gc ","")&amp;IF(H17=4,"Glr ","")&amp;IF(H18=4,"Gv ","")&amp;IF(H19=4,"Ga ","")&amp;IF(H20=4,"Gf ","")&amp;IF(H21=4,"Gs ","")&amp;IF(H22=4,"Gsm ","")</f>
        <v>Glr </v>
      </c>
    </row>
    <row r="21" spans="1:9" ht="50.25" customHeight="1">
      <c r="A21" s="119" t="s">
        <v>288</v>
      </c>
      <c r="B21" s="119" t="s">
        <v>291</v>
      </c>
      <c r="C21" s="116">
        <f>I41</f>
      </c>
      <c r="D21" s="117">
        <f>I48</f>
      </c>
      <c r="F21" t="str">
        <f>'WJ III COG'!B42</f>
        <v>Processing Speed (Gs):</v>
      </c>
      <c r="G21">
        <f>'WJ III COG'!C42</f>
        <v>100</v>
      </c>
      <c r="H21" s="112">
        <f t="shared" si="2"/>
        <v>5</v>
      </c>
      <c r="I21">
        <f>IF(H16=3,"Gc ","")&amp;IF(H17=3,"Glr ","")&amp;IF(H18=3,"Gv ","")&amp;IF(H19=3,"Ga ","")&amp;IF(H20=3,"Gf ","")&amp;IF(H21=3,"Gs ","")&amp;IF(H22=3,"Gsm ","")</f>
      </c>
    </row>
    <row r="22" spans="1:9" ht="50.25" customHeight="1">
      <c r="A22" s="128" t="s">
        <v>293</v>
      </c>
      <c r="B22" s="119" t="s">
        <v>292</v>
      </c>
      <c r="C22" s="116">
        <f>I42</f>
      </c>
      <c r="D22" s="117">
        <f>I49</f>
      </c>
      <c r="F22" t="str">
        <f>'WJ III COG'!B43</f>
        <v>Short-Term Memory (Gsm):</v>
      </c>
      <c r="G22">
        <f>'WJ III COG'!C43</f>
        <v>100</v>
      </c>
      <c r="H22" s="112">
        <f t="shared" si="2"/>
        <v>5</v>
      </c>
      <c r="I22">
        <f>IF(H16=2,"Gc ","")&amp;IF(H17=2,"Glr ","")&amp;IF(H18=2,"Gv ","")&amp;IF(H19=2,"Ga ","")&amp;IF(H20=2,"Gf ","")&amp;IF(H21=2,"Gs ","")&amp;IF(H22=2,"Gsm ","")</f>
      </c>
    </row>
    <row r="23" spans="1:9" ht="50.25" customHeight="1">
      <c r="A23" s="119" t="s">
        <v>289</v>
      </c>
      <c r="B23" s="119" t="s">
        <v>311</v>
      </c>
      <c r="C23" s="116" t="str">
        <f>I38</f>
        <v>Gc Glr Gv Ga Gf Gs Gsm </v>
      </c>
      <c r="D23" s="117" t="str">
        <f>I50</f>
        <v>Phonemic Awareness Working Memory Broad Attention Cognitive Fluency Executive Processes Verbal Ability Thinking Ability Cognitive Efficiency </v>
      </c>
      <c r="F23" t="s">
        <v>338</v>
      </c>
      <c r="G23">
        <f>'WJ III COG'!C45</f>
        <v>123</v>
      </c>
      <c r="H23" s="112">
        <f t="shared" si="2"/>
        <v>7</v>
      </c>
      <c r="I23">
        <f>IF(H16=1,"Gc ","")&amp;IF(H17=1,"Glr ","")&amp;IF(H18=1,"Gv ","")&amp;IF(H19=1,"Ga ","")&amp;IF(H20=1,"Gf ","")&amp;IF(H21=1,"Gs ","")&amp;IF(H22=1,"Gsm ","")</f>
      </c>
    </row>
    <row r="24" spans="6:9" ht="50.25" customHeight="1">
      <c r="F24" t="s">
        <v>294</v>
      </c>
      <c r="G24">
        <f>'WJ III COG'!C47</f>
        <v>93</v>
      </c>
      <c r="H24" s="112">
        <f t="shared" si="2"/>
        <v>5</v>
      </c>
      <c r="I24">
        <f>IF(H23=8,F23,"")&amp;IF(H24=8,F24,"")&amp;IF(H25=8,F25,"")&amp;IF(H26=8,F26,"")&amp;IF(H27=8,F27,"")&amp;IF(H28=8,F28,"")&amp;IF(H29=8,F29,"")&amp;IF(H30=8,F30,"")&amp;IF(H31=8,F31,"")</f>
      </c>
    </row>
    <row r="25" spans="6:9" ht="12.75">
      <c r="F25" t="s">
        <v>332</v>
      </c>
      <c r="G25">
        <f>'WJ III COG'!C48</f>
        <v>88</v>
      </c>
      <c r="H25" s="112">
        <f t="shared" si="2"/>
        <v>4</v>
      </c>
      <c r="I25" t="str">
        <f>IF(H23=7,F23,"")&amp;IF(H24=7,F24,"")&amp;IF(H25=7,F25,"")&amp;IF(H26=7,F26,"")&amp;IF(H27=7,F27,"")&amp;IF(H28=7,F28,"")&amp;IF(H29=7,F29,"")&amp;IF(H30=7,F30,"")&amp;IF(H31=7,F31,"")</f>
        <v>Phonemic Awareness </v>
      </c>
    </row>
    <row r="26" spans="6:9" ht="12.75">
      <c r="F26" t="s">
        <v>121</v>
      </c>
      <c r="G26">
        <f>'WJ III COG'!C49</f>
        <v>82</v>
      </c>
      <c r="H26" s="112">
        <f t="shared" si="2"/>
        <v>4</v>
      </c>
      <c r="I26" t="str">
        <f>IF(H23=6,F23,"")&amp;IF(H24=6,F24,"")&amp;IF(H25=6,F25,"")&amp;IF(H26=6,F26,"")&amp;IF(H27=6,F27,"")&amp;IF(H28=6,F28,"")&amp;IF(H29=6,F29,"")&amp;IF(H30=6,F30,"")&amp;IF(H31=6,F31,"")</f>
        <v>Verbal Ability </v>
      </c>
    </row>
    <row r="27" spans="6:9" ht="12.75">
      <c r="F27" t="s">
        <v>334</v>
      </c>
      <c r="G27">
        <f>'WJ III COG'!C50</f>
        <v>94</v>
      </c>
      <c r="H27" s="112">
        <f t="shared" si="2"/>
        <v>5</v>
      </c>
      <c r="I27" t="str">
        <f>IF(H23=5,F23,"")&amp;IF(H24=5,F24,"")&amp;IF(H25=5,F25,"")&amp;IF(H26=5,F26,"")&amp;IF(H27=5,F27,"")&amp;IF(H28=5,F28,"")&amp;IF(H29=5,F29,"")&amp;IF(H30=5,F30,"")&amp;IF(H31=5,F31,"")</f>
        <v>Working Memory Executive Processes GIA Thinking Ability Cognitive Efficiency </v>
      </c>
    </row>
    <row r="28" spans="6:9" ht="12.75">
      <c r="F28" t="s">
        <v>335</v>
      </c>
      <c r="G28">
        <f>'WJ III COG'!C24</f>
        <v>105</v>
      </c>
      <c r="H28" s="112">
        <f>LOOKUP(G28,level)</f>
        <v>5</v>
      </c>
      <c r="I28" t="str">
        <f>IF(H23=4,F23,"")&amp;IF(H24=4,F24,"")&amp;IF(H25=4,F25,"")&amp;IF(H26=4,F26,"")&amp;IF(H27=4,F27,"")&amp;IF(H28=4,F28,"")&amp;IF(H29=4,F29,"")&amp;IF(H30=4,F30,"")&amp;IF(H31=4,F31,"")</f>
        <v>Broad Attention Cognitive Fluency </v>
      </c>
    </row>
    <row r="29" spans="6:9" ht="12.75">
      <c r="F29" t="s">
        <v>333</v>
      </c>
      <c r="G29">
        <f>'WJ III COG'!C30</f>
        <v>115</v>
      </c>
      <c r="H29" s="112">
        <f>LOOKUP(G29,level)</f>
        <v>6</v>
      </c>
      <c r="I29">
        <f>IF(H23=3,F23,"")&amp;IF(H24=3,F24,"")&amp;IF(H25=3,F25,"")&amp;IF(H26=3,F26,"")&amp;IF(H27=3,F27,"")&amp;IF(H28=3,F28,"")&amp;IF(H29=3,F29,"")&amp;IF(H30=3,F30,"")&amp;IF(H31=3,F31,"")</f>
      </c>
    </row>
    <row r="30" spans="6:9" ht="12.75">
      <c r="F30" t="s">
        <v>336</v>
      </c>
      <c r="G30">
        <f>'WJ III COG'!C31</f>
        <v>105</v>
      </c>
      <c r="H30" s="112">
        <f t="shared" si="2"/>
        <v>5</v>
      </c>
      <c r="I30">
        <f>IF(H23=2,F23,"")&amp;IF(H24=2,F24,"")&amp;IF(H25=2,F25,"")&amp;IF(H26=2,F26,"")&amp;IF(H27=2,F27,"")&amp;IF(H28=2,F28,"")&amp;IF(H29=2,F29,"")&amp;IF(H30=2,F30,"")&amp;IF(H31=2,F31,"")</f>
      </c>
    </row>
    <row r="31" spans="6:9" ht="12.75">
      <c r="F31" t="s">
        <v>337</v>
      </c>
      <c r="G31">
        <f>'WJ III COG'!C33</f>
        <v>100</v>
      </c>
      <c r="H31" s="112">
        <f t="shared" si="2"/>
        <v>5</v>
      </c>
      <c r="I31">
        <f>IF(H23=1,F23,"")&amp;IF(H24=1,F24,"")&amp;IF(H25=1,F25,"")&amp;IF(H26=1,F26,"")&amp;IF(H27=1,F27,"")&amp;IF(H28=1,F28,"")&amp;IF(H29=1,F29,"")&amp;IF(H30=1,F30,"")&amp;IF(H31=1,F31,"")</f>
      </c>
    </row>
    <row r="32" ht="12.75">
      <c r="H32">
        <v>54</v>
      </c>
    </row>
    <row r="33" spans="8:15" ht="12.75">
      <c r="H33">
        <v>1</v>
      </c>
      <c r="I33">
        <v>55</v>
      </c>
      <c r="J33">
        <v>70</v>
      </c>
      <c r="K33">
        <v>80</v>
      </c>
      <c r="L33">
        <v>90</v>
      </c>
      <c r="M33">
        <v>111</v>
      </c>
      <c r="N33">
        <v>121</v>
      </c>
      <c r="O33">
        <v>131</v>
      </c>
    </row>
    <row r="34" spans="8:15" ht="12.75">
      <c r="H34">
        <v>1</v>
      </c>
      <c r="I34">
        <v>2</v>
      </c>
      <c r="J34">
        <v>3</v>
      </c>
      <c r="K34">
        <v>4</v>
      </c>
      <c r="L34">
        <v>5</v>
      </c>
      <c r="M34">
        <v>6</v>
      </c>
      <c r="N34">
        <v>7</v>
      </c>
      <c r="O34">
        <v>8</v>
      </c>
    </row>
    <row r="35" ht="12.75">
      <c r="G35" t="s">
        <v>120</v>
      </c>
    </row>
    <row r="36" spans="6:8" ht="12.75">
      <c r="F36" t="str">
        <f>'WJ III COG'!B35</f>
        <v>Comprehension-Knowledge (Gc):</v>
      </c>
      <c r="G36">
        <f>'WJ III COG'!D35</f>
        <v>0</v>
      </c>
      <c r="H36" s="112">
        <f>LOOKUP(G36,rpilevel)</f>
        <v>1</v>
      </c>
    </row>
    <row r="37" spans="6:8" ht="12.75">
      <c r="F37" t="str">
        <f>'WJ III COG'!B36</f>
        <v>Long-term Retrieval (Glr):</v>
      </c>
      <c r="G37">
        <f>'WJ III COG'!D36</f>
        <v>0</v>
      </c>
      <c r="H37" s="112">
        <f aca="true" t="shared" si="3" ref="H37:H51">LOOKUP(G37,rpilevel)</f>
        <v>1</v>
      </c>
    </row>
    <row r="38" spans="6:10" ht="12.75">
      <c r="F38" t="str">
        <f>'WJ III COG'!B37</f>
        <v>Visual Spatial Thinking (Gv):</v>
      </c>
      <c r="G38">
        <f>'WJ III COG'!D37</f>
        <v>0</v>
      </c>
      <c r="H38" s="112">
        <f t="shared" si="3"/>
        <v>1</v>
      </c>
      <c r="I38" t="str">
        <f>IF(H36=1,"Gc ","")&amp;IF(H37=1,"Glr ","")&amp;IF(H38=1,"Gv ","")&amp;IF(H39=1,"Ga ","")&amp;IF(H40=1,"Gf ","")&amp;IF(H41=1,"Gs ","")&amp;IF(H42=1,"Gsm ","")</f>
        <v>Gc Glr Gv Ga Gf Gs Gsm </v>
      </c>
      <c r="J38">
        <v>1</v>
      </c>
    </row>
    <row r="39" spans="6:10" ht="12.75">
      <c r="F39" t="str">
        <f>'WJ III COG'!B39</f>
        <v>Auditory Processing (Ga):</v>
      </c>
      <c r="G39">
        <f>'WJ III COG'!D39</f>
        <v>0</v>
      </c>
      <c r="H39" s="112">
        <f t="shared" si="3"/>
        <v>1</v>
      </c>
      <c r="I39">
        <f>IF(H36=5,"Gc ","")&amp;IF(H37=5,"Glr ","")&amp;IF(H38=5,"Gv ","")&amp;IF(H39=5,"Ga ","")&amp;IF(H40=5,"Gf ","")&amp;IF(H41=5,"Gs ","")&amp;IF(H42=5,"Gsm ","")</f>
      </c>
      <c r="J39">
        <v>5</v>
      </c>
    </row>
    <row r="40" spans="6:10" ht="12.75">
      <c r="F40" t="str">
        <f>'WJ III COG'!B40</f>
        <v>Fluid Reasoning (Gf):</v>
      </c>
      <c r="G40">
        <f>'WJ III COG'!D40</f>
        <v>0</v>
      </c>
      <c r="H40" s="112">
        <f t="shared" si="3"/>
        <v>1</v>
      </c>
      <c r="I40">
        <f>IF(H36=4,"Gc ","")&amp;IF(H37=4,"Glr ","")&amp;IF(H38=4,"Gv ","")&amp;IF(H39=4,"Ga ","")&amp;IF(H40=4,"Gf ","")&amp;IF(H41=4,"Gs ","")&amp;IF(H42=4,"Gsm ","")</f>
      </c>
      <c r="J40">
        <v>4</v>
      </c>
    </row>
    <row r="41" spans="6:10" ht="12.75">
      <c r="F41" t="str">
        <f>'WJ III COG'!B42</f>
        <v>Processing Speed (Gs):</v>
      </c>
      <c r="G41">
        <f>'WJ III COG'!D42</f>
        <v>0</v>
      </c>
      <c r="H41" s="112">
        <f t="shared" si="3"/>
        <v>1</v>
      </c>
      <c r="I41">
        <f>IF(H36=3,"Gc ","")&amp;IF(H37=3,"Glr ","")&amp;IF(H38=3,"Gv ","")&amp;IF(H39=3,"Ga ","")&amp;IF(H40=3,"Gf ","")&amp;IF(H41=3,"Gs ","")&amp;IF(H42=3,"Gsm ","")</f>
      </c>
      <c r="J41">
        <v>3</v>
      </c>
    </row>
    <row r="42" spans="6:11" ht="13.5" thickBot="1">
      <c r="F42" t="str">
        <f>'WJ III COG'!B43</f>
        <v>Short-Term Memory (Gsm):</v>
      </c>
      <c r="G42" s="129">
        <f>'WJ III COG'!D43</f>
        <v>0</v>
      </c>
      <c r="H42" s="130">
        <f t="shared" si="3"/>
        <v>1</v>
      </c>
      <c r="I42" s="129">
        <f>IF(H36=2,"Gc ","")&amp;IF(H37=2,"Glr ","")&amp;IF(H38=2,"Gv ","")&amp;IF(H39=2,"Ga ","")&amp;IF(H40=2,"Gf ","")&amp;IF(H41=2,"Gs ","")&amp;IF(H42=2,"Gsm ","")</f>
      </c>
      <c r="J42" s="129">
        <v>2</v>
      </c>
      <c r="K42" s="129"/>
    </row>
    <row r="43" spans="6:8" ht="12.75">
      <c r="F43" t="s">
        <v>338</v>
      </c>
      <c r="G43">
        <f>'WJ III COG'!D45</f>
        <v>0</v>
      </c>
      <c r="H43" s="112">
        <f t="shared" si="3"/>
        <v>1</v>
      </c>
    </row>
    <row r="44" spans="6:8" ht="12.75">
      <c r="F44" t="s">
        <v>294</v>
      </c>
      <c r="G44">
        <f>'WJ III COG'!D47</f>
        <v>0</v>
      </c>
      <c r="H44" s="112">
        <f t="shared" si="3"/>
        <v>1</v>
      </c>
    </row>
    <row r="45" spans="6:8" ht="12.75">
      <c r="F45" t="s">
        <v>332</v>
      </c>
      <c r="G45">
        <f>'WJ III COG'!D48</f>
        <v>0</v>
      </c>
      <c r="H45" s="112">
        <f t="shared" si="3"/>
        <v>1</v>
      </c>
    </row>
    <row r="46" spans="6:10" ht="12.75">
      <c r="F46" t="s">
        <v>121</v>
      </c>
      <c r="G46">
        <f>'WJ III COG'!D49</f>
        <v>0</v>
      </c>
      <c r="H46" s="112">
        <f t="shared" si="3"/>
        <v>1</v>
      </c>
      <c r="I46">
        <f>IF(H43=5,F43,"")&amp;IF(H44=5,F44,"")&amp;IF(H45=5,F45,"")&amp;IF(H46=5,F46,"")&amp;IF(H47=5,F47,"")&amp;IF(H49=5,F49,"")&amp;IF(H50=5,F50,"")&amp;IF(H51=5,F51,"")</f>
      </c>
      <c r="J46">
        <v>5</v>
      </c>
    </row>
    <row r="47" spans="6:10" ht="12.75">
      <c r="F47" t="s">
        <v>334</v>
      </c>
      <c r="G47">
        <f>'WJ III COG'!D50</f>
        <v>0</v>
      </c>
      <c r="H47" s="112">
        <f t="shared" si="3"/>
        <v>1</v>
      </c>
      <c r="I47">
        <f>IF(H43=4,F43,"")&amp;IF(H44=4,F44,"")&amp;IF(H45=4,F45,"")&amp;IF(H46=4,F46,"")&amp;IF(H47=4,F47,"")&amp;IF(H49=4,F49,"")&amp;IF(H50=4,F50,"")&amp;IF(H51=4,F51,"")</f>
      </c>
      <c r="J47">
        <v>4</v>
      </c>
    </row>
    <row r="48" spans="6:10" ht="12.75">
      <c r="F48" t="s">
        <v>335</v>
      </c>
      <c r="H48" s="112">
        <f t="shared" si="3"/>
        <v>1</v>
      </c>
      <c r="I48">
        <f>IF(H43=3,F43,"")&amp;IF(H44=3,F44,"")&amp;IF(H45=3,F45,"")&amp;IF(H46=3,F46,"")&amp;IF(H47=3,F47,"")&amp;IF(H49=3,F49,"")&amp;IF(H50=3,F50,"")&amp;IF(H51=3,F51,"")</f>
      </c>
      <c r="J48">
        <v>3</v>
      </c>
    </row>
    <row r="49" spans="6:10" ht="12.75">
      <c r="F49" t="s">
        <v>333</v>
      </c>
      <c r="G49" s="126">
        <f>'WJ III COG'!D30</f>
        <v>0</v>
      </c>
      <c r="H49" s="112">
        <f t="shared" si="3"/>
        <v>1</v>
      </c>
      <c r="I49">
        <f>IF(H43=2,F43,"")&amp;IF(H44=2,F44,"")&amp;IF(H45=2,F45,"")&amp;IF(H46=2,F46,"")&amp;IF(H47=2,F47,"")&amp;IF(H49=2,F49,"")&amp;IF(H50=2,F50,"")&amp;IF(H51=2,F51,"")</f>
      </c>
      <c r="J49">
        <v>2</v>
      </c>
    </row>
    <row r="50" spans="6:10" ht="12.75">
      <c r="F50" t="s">
        <v>336</v>
      </c>
      <c r="G50" s="126">
        <f>'WJ III COG'!D31</f>
        <v>0</v>
      </c>
      <c r="H50" s="112">
        <f t="shared" si="3"/>
        <v>1</v>
      </c>
      <c r="I50" t="str">
        <f>IF(H43=1,F43,"")&amp;IF(H44=1,F44,"")&amp;IF(H45=1,F45,"")&amp;IF(H46=1,F46,"")&amp;IF(H47=1,F47,"")&amp;IF(H49=1,F49,"")&amp;IF(H50=1,F50,"")&amp;IF(H51=1,F51,"")</f>
        <v>Phonemic Awareness Working Memory Broad Attention Cognitive Fluency Executive Processes Verbal Ability Thinking Ability Cognitive Efficiency </v>
      </c>
      <c r="J50">
        <v>1</v>
      </c>
    </row>
    <row r="51" spans="6:8" ht="12.75">
      <c r="F51" t="s">
        <v>337</v>
      </c>
      <c r="G51" s="126">
        <f>'WJ III COG'!D33</f>
        <v>0</v>
      </c>
      <c r="H51" s="112">
        <f t="shared" si="3"/>
        <v>1</v>
      </c>
    </row>
    <row r="52" ht="12.75">
      <c r="H52">
        <v>54</v>
      </c>
    </row>
    <row r="53" spans="8:12" ht="12.75">
      <c r="H53">
        <v>0</v>
      </c>
      <c r="I53">
        <v>4</v>
      </c>
      <c r="J53">
        <v>25</v>
      </c>
      <c r="K53">
        <v>75</v>
      </c>
      <c r="L53">
        <v>97</v>
      </c>
    </row>
    <row r="54" spans="8:12" ht="12.75">
      <c r="H54">
        <v>1</v>
      </c>
      <c r="I54">
        <v>2</v>
      </c>
      <c r="J54">
        <v>3</v>
      </c>
      <c r="K54">
        <v>4</v>
      </c>
      <c r="L54">
        <v>5</v>
      </c>
    </row>
  </sheetData>
  <sheetProtection password="8D61" sheet="1" objects="1" scenarios="1"/>
  <printOptions horizontalCentered="1" verticalCentered="1"/>
  <pageMargins left="0" right="0" top="0" bottom="0" header="0.5" footer="0.5"/>
  <pageSetup horizontalDpi="300" verticalDpi="300" orientation="landscape" r:id="rId2"/>
  <headerFooter alignWithMargins="0">
    <oddHeader>&amp;C&amp;"Geneva,Bold"&amp;20WJ III™  Cognitive Clusters by Level</oddHeader>
    <oddFooter>&amp;L&amp;8Woodcock-Johnson III by Richard W. Woodcock, Kevin S. McGrew, and Nancy Mather © Riverside Publishing, 2001.
All rights Reserved&amp;R&amp;8   
Template created by Ron Dumont and John Willis</oddFooter>
  </headerFooter>
  <rowBreaks count="1" manualBreakCount="1">
    <brk id="14" max="255" man="1"/>
  </rowBreaks>
  <drawing r:id="rId1"/>
</worksheet>
</file>

<file path=xl/worksheets/sheet8.xml><?xml version="1.0" encoding="utf-8"?>
<worksheet xmlns="http://schemas.openxmlformats.org/spreadsheetml/2006/main" xmlns:r="http://schemas.openxmlformats.org/officeDocument/2006/relationships">
  <dimension ref="A1:O25"/>
  <sheetViews>
    <sheetView showGridLines="0" zoomScalePageLayoutView="0" workbookViewId="0" topLeftCell="B1">
      <selection activeCell="J21" sqref="J21"/>
    </sheetView>
  </sheetViews>
  <sheetFormatPr defaultColWidth="9.00390625" defaultRowHeight="12.75"/>
  <cols>
    <col min="1" max="2" width="2.75390625" style="3" customWidth="1"/>
    <col min="3" max="3" width="22.875" style="3" bestFit="1" customWidth="1"/>
    <col min="4" max="4" width="9.125" style="3" customWidth="1"/>
    <col min="5" max="5" width="1.75390625" style="3" customWidth="1"/>
    <col min="6" max="6" width="3.375" style="3" customWidth="1"/>
    <col min="7" max="7" width="19.125" style="3" bestFit="1" customWidth="1"/>
    <col min="8" max="9" width="9.125" style="3" customWidth="1"/>
    <col min="10" max="10" width="2.25390625" style="3" customWidth="1"/>
    <col min="11" max="11" width="22.25390625" style="3" customWidth="1"/>
    <col min="12" max="12" width="9.125" style="3" customWidth="1"/>
    <col min="13" max="13" width="4.25390625" style="3" customWidth="1"/>
    <col min="14" max="16384" width="9.125" style="3" customWidth="1"/>
  </cols>
  <sheetData>
    <row r="1" spans="1:13" ht="19.5" customHeight="1">
      <c r="A1" s="248" t="s">
        <v>281</v>
      </c>
      <c r="B1" s="248"/>
      <c r="C1" s="248"/>
      <c r="D1" s="248"/>
      <c r="E1" s="248"/>
      <c r="F1" s="248"/>
      <c r="G1" s="248"/>
      <c r="H1" s="248"/>
      <c r="I1" s="248"/>
      <c r="J1" s="248"/>
      <c r="K1" s="248"/>
      <c r="L1" s="248"/>
      <c r="M1" s="248"/>
    </row>
    <row r="2" spans="3:13" ht="4.5" customHeight="1">
      <c r="C2"/>
      <c r="D2"/>
      <c r="E2"/>
      <c r="F2"/>
      <c r="G2"/>
      <c r="H2"/>
      <c r="I2"/>
      <c r="J2"/>
      <c r="K2"/>
      <c r="L2"/>
      <c r="M2"/>
    </row>
    <row r="3" spans="2:13" ht="20.25" customHeight="1">
      <c r="B3" s="98"/>
      <c r="C3" s="251" t="s">
        <v>52</v>
      </c>
      <c r="D3" s="251"/>
      <c r="E3" s="252"/>
      <c r="F3" s="98"/>
      <c r="G3" s="251" t="s">
        <v>313</v>
      </c>
      <c r="H3" s="251"/>
      <c r="I3" s="251"/>
      <c r="J3" s="251"/>
      <c r="K3" s="251"/>
      <c r="L3" s="251"/>
      <c r="M3" s="100"/>
    </row>
    <row r="4" spans="2:13" ht="6" customHeight="1">
      <c r="B4" s="101"/>
      <c r="C4" s="102"/>
      <c r="D4" s="102"/>
      <c r="E4" s="76"/>
      <c r="F4" s="101"/>
      <c r="G4" s="102"/>
      <c r="H4" s="102"/>
      <c r="I4" s="102"/>
      <c r="J4" s="102"/>
      <c r="K4" s="102"/>
      <c r="L4" s="102"/>
      <c r="M4" s="76"/>
    </row>
    <row r="5" spans="2:13" ht="20.25" customHeight="1">
      <c r="B5" s="101"/>
      <c r="C5" s="90" t="s">
        <v>53</v>
      </c>
      <c r="D5" s="85">
        <f>IF('WJ III COG'!C40="","",'WJ III COG'!C40)</f>
        <v>107</v>
      </c>
      <c r="E5" s="76"/>
      <c r="F5" s="91"/>
      <c r="G5" s="86"/>
      <c r="H5" s="87" t="s">
        <v>92</v>
      </c>
      <c r="I5" s="85">
        <f>IF('WJ III ACH'!C29="","",'WJ III ACH'!C29)</f>
        <v>89</v>
      </c>
      <c r="J5" s="79"/>
      <c r="K5" s="84" t="s">
        <v>95</v>
      </c>
      <c r="L5" s="85">
        <f>IF('WJ III ACH'!C33="","",'WJ III ACH'!C33)</f>
        <v>104</v>
      </c>
      <c r="M5" s="76"/>
    </row>
    <row r="6" spans="2:13" ht="12.75" customHeight="1">
      <c r="B6" s="101"/>
      <c r="C6" s="81"/>
      <c r="D6" s="81"/>
      <c r="E6" s="76"/>
      <c r="F6" s="91"/>
      <c r="G6" s="81"/>
      <c r="H6" s="80"/>
      <c r="I6" s="77"/>
      <c r="J6" s="77"/>
      <c r="K6" s="80"/>
      <c r="L6" s="80"/>
      <c r="M6" s="76"/>
    </row>
    <row r="7" spans="2:13" ht="20.25" customHeight="1">
      <c r="B7" s="101"/>
      <c r="C7" s="90" t="s">
        <v>316</v>
      </c>
      <c r="D7" s="85">
        <f>IF('WJ III COG'!C36="","",'WJ III COG'!C36)</f>
        <v>83</v>
      </c>
      <c r="E7" s="76"/>
      <c r="F7" s="91"/>
      <c r="G7" s="86"/>
      <c r="H7" s="87" t="s">
        <v>93</v>
      </c>
      <c r="I7" s="85">
        <f>IF('WJ III ACH'!C30="","",'WJ III ACH'!C30)</f>
        <v>99</v>
      </c>
      <c r="J7" s="79"/>
      <c r="K7" s="84" t="s">
        <v>96</v>
      </c>
      <c r="L7" s="85">
        <f>IF('WJ III ACH'!C34="","",'WJ III ACH'!C34)</f>
        <v>89</v>
      </c>
      <c r="M7" s="76"/>
    </row>
    <row r="8" spans="2:13" ht="12.75" customHeight="1" thickBot="1">
      <c r="B8" s="101"/>
      <c r="C8" s="81"/>
      <c r="D8" s="81"/>
      <c r="E8" s="76"/>
      <c r="F8" s="91"/>
      <c r="G8" s="80"/>
      <c r="H8" s="80"/>
      <c r="I8" s="80"/>
      <c r="J8" s="80"/>
      <c r="K8" s="80"/>
      <c r="L8" s="80"/>
      <c r="M8" s="76"/>
    </row>
    <row r="9" spans="2:13" ht="20.25" customHeight="1" thickBot="1" thickTop="1">
      <c r="B9" s="101"/>
      <c r="C9" s="90" t="s">
        <v>317</v>
      </c>
      <c r="D9" s="85">
        <f>IF('WJ III COG'!C39="","",'WJ III COG'!C39)</f>
        <v>114</v>
      </c>
      <c r="E9" s="76"/>
      <c r="F9" s="91"/>
      <c r="G9" s="96"/>
      <c r="H9" s="97" t="s">
        <v>101</v>
      </c>
      <c r="I9" s="94">
        <f>IF('WJ III ACH'!C40="","",'WJ III ACH'!C40)</f>
        <v>87</v>
      </c>
      <c r="J9" s="79"/>
      <c r="K9" s="84" t="s">
        <v>86</v>
      </c>
      <c r="L9" s="85">
        <f>IF('WJ III ACH'!C21="","",'WJ III ACH'!C21)</f>
      </c>
      <c r="M9" s="76"/>
    </row>
    <row r="10" spans="2:13" ht="12.75" customHeight="1" thickBot="1" thickTop="1">
      <c r="B10" s="101"/>
      <c r="C10" s="81"/>
      <c r="D10" s="81"/>
      <c r="E10" s="76"/>
      <c r="F10" s="91"/>
      <c r="G10" s="81"/>
      <c r="H10" s="80"/>
      <c r="I10" s="80"/>
      <c r="J10" s="80"/>
      <c r="K10" s="80"/>
      <c r="L10" s="77"/>
      <c r="M10" s="76"/>
    </row>
    <row r="11" spans="2:13" ht="20.25" customHeight="1" thickBot="1" thickTop="1">
      <c r="B11" s="101"/>
      <c r="C11" s="93" t="s">
        <v>238</v>
      </c>
      <c r="D11" s="94">
        <f>IF('WJ III COG'!C45="","",'WJ III COG'!C45)</f>
        <v>123</v>
      </c>
      <c r="E11" s="76"/>
      <c r="F11" s="91"/>
      <c r="G11" s="86"/>
      <c r="H11" s="87" t="s">
        <v>94</v>
      </c>
      <c r="I11" s="85">
        <f>IF('WJ III ACH'!C32="","",'WJ III ACH'!C32)</f>
        <v>101</v>
      </c>
      <c r="J11" s="79"/>
      <c r="K11" s="84" t="s">
        <v>110</v>
      </c>
      <c r="L11" s="85">
        <f>IF('WJ III ACH'!C20="","",'WJ III ACH'!C20)</f>
        <v>102</v>
      </c>
      <c r="M11" s="76"/>
    </row>
    <row r="12" spans="2:13" ht="12.75" customHeight="1" thickTop="1">
      <c r="B12" s="101"/>
      <c r="C12" s="81"/>
      <c r="D12" s="81"/>
      <c r="E12" s="76"/>
      <c r="F12" s="91"/>
      <c r="G12" s="81"/>
      <c r="H12" s="80"/>
      <c r="I12" s="80"/>
      <c r="J12" s="80"/>
      <c r="K12" s="80"/>
      <c r="L12" s="80"/>
      <c r="M12" s="76"/>
    </row>
    <row r="13" spans="2:15" ht="20.25" customHeight="1">
      <c r="B13" s="101"/>
      <c r="C13" s="90" t="s">
        <v>318</v>
      </c>
      <c r="D13" s="85">
        <f>IF('WJ III COG'!C37="","",'WJ III COG'!C37)</f>
        <v>94</v>
      </c>
      <c r="E13" s="76"/>
      <c r="F13" s="91"/>
      <c r="G13" s="86"/>
      <c r="H13" s="87" t="s">
        <v>114</v>
      </c>
      <c r="I13" s="85">
        <f>IF('WJ III ACH'!C31="","",'WJ III ACH'!C31)</f>
        <v>92</v>
      </c>
      <c r="J13" s="79"/>
      <c r="K13" s="84" t="s">
        <v>54</v>
      </c>
      <c r="L13" s="85">
        <f>IF('WJ III COG'!C35="","",'WJ III COG'!C35)</f>
        <v>115</v>
      </c>
      <c r="M13" s="76"/>
      <c r="O13" s="6"/>
    </row>
    <row r="14" spans="2:13" ht="13.5" customHeight="1">
      <c r="B14" s="103"/>
      <c r="C14" s="104"/>
      <c r="D14" s="104"/>
      <c r="E14" s="105"/>
      <c r="F14" s="92"/>
      <c r="G14" s="104"/>
      <c r="H14" s="89"/>
      <c r="I14" s="89"/>
      <c r="J14" s="89"/>
      <c r="K14" s="89"/>
      <c r="L14" s="89"/>
      <c r="M14" s="105"/>
    </row>
    <row r="15" spans="2:13" ht="20.25" customHeight="1">
      <c r="B15" s="98"/>
      <c r="C15" s="99" t="s">
        <v>315</v>
      </c>
      <c r="D15" s="106"/>
      <c r="E15" s="107"/>
      <c r="F15" s="88" t="s">
        <v>314</v>
      </c>
      <c r="G15" s="108"/>
      <c r="H15" s="108"/>
      <c r="I15" s="108"/>
      <c r="J15" s="108"/>
      <c r="K15" s="108"/>
      <c r="L15" s="108"/>
      <c r="M15" s="100"/>
    </row>
    <row r="16" spans="2:13" ht="20.25" customHeight="1">
      <c r="B16" s="101"/>
      <c r="C16" s="84" t="s">
        <v>319</v>
      </c>
      <c r="D16" s="85">
        <f>IF('WJ III COG'!C43="","",'WJ III COG'!C43)</f>
        <v>100</v>
      </c>
      <c r="E16" s="102"/>
      <c r="F16" s="80"/>
      <c r="G16" s="84" t="s">
        <v>320</v>
      </c>
      <c r="H16" s="85">
        <f>IF('WJ III COG'!C42="","",'WJ III COG'!C42)</f>
        <v>100</v>
      </c>
      <c r="I16" s="80"/>
      <c r="J16" s="109"/>
      <c r="K16" s="78"/>
      <c r="L16" s="83"/>
      <c r="M16" s="76"/>
    </row>
    <row r="17" spans="2:13" ht="12.75" customHeight="1" thickBot="1">
      <c r="B17" s="101"/>
      <c r="C17" s="80"/>
      <c r="D17" s="77"/>
      <c r="E17" s="102"/>
      <c r="F17" s="80"/>
      <c r="G17" s="79"/>
      <c r="H17" s="80"/>
      <c r="I17" s="80"/>
      <c r="J17" s="79"/>
      <c r="K17" s="80"/>
      <c r="L17" s="80"/>
      <c r="M17" s="76"/>
    </row>
    <row r="18" spans="2:13" ht="20.25" customHeight="1" thickBot="1" thickTop="1">
      <c r="B18" s="101"/>
      <c r="C18" s="95" t="s">
        <v>261</v>
      </c>
      <c r="D18" s="94">
        <f>IF('WJ III COG'!C47="","",'WJ III COG'!C47)</f>
        <v>93</v>
      </c>
      <c r="E18" s="102"/>
      <c r="F18" s="80"/>
      <c r="G18" s="95" t="s">
        <v>266</v>
      </c>
      <c r="H18" s="94">
        <f>IF('WJ III COG'!C49="","",'WJ III COG'!C49)</f>
        <v>82</v>
      </c>
      <c r="I18" s="80"/>
      <c r="J18" s="79"/>
      <c r="K18" s="80"/>
      <c r="L18" s="80"/>
      <c r="M18" s="76"/>
    </row>
    <row r="19" spans="2:13" ht="15" customHeight="1" thickTop="1">
      <c r="B19" s="103"/>
      <c r="C19" s="89"/>
      <c r="D19" s="89"/>
      <c r="E19" s="89"/>
      <c r="F19" s="89"/>
      <c r="G19" s="89"/>
      <c r="H19" s="89"/>
      <c r="I19" s="89"/>
      <c r="J19" s="80"/>
      <c r="K19" s="78"/>
      <c r="L19" s="79"/>
      <c r="M19" s="76"/>
    </row>
    <row r="20" spans="2:13" ht="20.25" customHeight="1" thickBot="1">
      <c r="B20" s="101"/>
      <c r="C20" s="249" t="s">
        <v>55</v>
      </c>
      <c r="D20" s="80"/>
      <c r="E20" s="80"/>
      <c r="F20" s="80"/>
      <c r="G20" s="80"/>
      <c r="H20" s="80"/>
      <c r="I20" s="80"/>
      <c r="J20" s="110"/>
      <c r="K20" s="251" t="s">
        <v>312</v>
      </c>
      <c r="L20" s="251"/>
      <c r="M20" s="111"/>
    </row>
    <row r="21" spans="2:13" ht="20.25" customHeight="1" thickBot="1" thickTop="1">
      <c r="B21" s="101"/>
      <c r="C21" s="249"/>
      <c r="D21" s="80"/>
      <c r="E21" s="80"/>
      <c r="F21" s="80"/>
      <c r="G21" s="80"/>
      <c r="H21" s="80"/>
      <c r="I21" s="80"/>
      <c r="J21" s="91"/>
      <c r="K21" s="95" t="s">
        <v>267</v>
      </c>
      <c r="L21" s="94">
        <f>IF('WJ III COG'!C50="","",'WJ III COG'!C50)</f>
        <v>94</v>
      </c>
      <c r="M21" s="76"/>
    </row>
    <row r="22" spans="2:13" ht="11.25" customHeight="1" thickBot="1" thickTop="1">
      <c r="B22" s="101"/>
      <c r="C22" s="249"/>
      <c r="D22" s="80"/>
      <c r="E22" s="80"/>
      <c r="F22" s="80"/>
      <c r="G22" s="80"/>
      <c r="H22" s="80"/>
      <c r="I22" s="80"/>
      <c r="J22" s="91"/>
      <c r="K22" s="80"/>
      <c r="L22" s="80"/>
      <c r="M22" s="76"/>
    </row>
    <row r="23" spans="2:13" ht="24" customHeight="1" thickBot="1" thickTop="1">
      <c r="B23" s="101"/>
      <c r="C23" s="249"/>
      <c r="D23" s="80"/>
      <c r="E23" s="253" t="s">
        <v>321</v>
      </c>
      <c r="F23" s="254"/>
      <c r="G23" s="254"/>
      <c r="H23" s="255"/>
      <c r="I23" s="80"/>
      <c r="J23" s="91"/>
      <c r="K23" s="95" t="s">
        <v>262</v>
      </c>
      <c r="L23" s="94">
        <f>IF('WJ III COG'!C48="","",'WJ III COG'!C48)</f>
        <v>88</v>
      </c>
      <c r="M23" s="76"/>
    </row>
    <row r="24" spans="2:13" ht="13.5" customHeight="1" thickTop="1">
      <c r="B24" s="103"/>
      <c r="C24" s="250"/>
      <c r="D24" s="89"/>
      <c r="E24" s="89"/>
      <c r="F24" s="89"/>
      <c r="G24" s="89"/>
      <c r="H24" s="89"/>
      <c r="I24" s="89"/>
      <c r="J24" s="92"/>
      <c r="K24" s="89"/>
      <c r="L24" s="89"/>
      <c r="M24" s="105"/>
    </row>
    <row r="25" spans="3:10" ht="20.25" customHeight="1">
      <c r="C25" s="82"/>
      <c r="D25" s="82"/>
      <c r="E25" s="82"/>
      <c r="F25" s="82"/>
      <c r="G25" s="82"/>
      <c r="H25" s="82"/>
      <c r="I25" s="82"/>
      <c r="J25" s="82"/>
    </row>
  </sheetData>
  <sheetProtection password="8D61" sheet="1" objects="1" scenarios="1"/>
  <mergeCells count="6">
    <mergeCell ref="A1:M1"/>
    <mergeCell ref="C20:C24"/>
    <mergeCell ref="G3:L3"/>
    <mergeCell ref="K20:L20"/>
    <mergeCell ref="C3:E3"/>
    <mergeCell ref="E23:H23"/>
  </mergeCells>
  <printOptions horizontalCentered="1" verticalCentered="1"/>
  <pageMargins left="0" right="0" top="0" bottom="0" header="0.5" footer="0.5"/>
  <pageSetup horizontalDpi="300" verticalDpi="300" orientation="landscape" r:id="rId2"/>
  <headerFooter alignWithMargins="0">
    <oddFooter>&amp;L&amp;8Woodcock-Johnson III by Richard W. Woodcock, Kevin S. McGrew, and Nancy Mather © Riverside Publishing, 2001.
All rights Reserved&amp;R&amp;8   
Template created by Ron Dumont and John Willis</oddFooter>
  </headerFooter>
  <drawing r:id="rId1"/>
</worksheet>
</file>

<file path=xl/worksheets/sheet9.xml><?xml version="1.0" encoding="utf-8"?>
<worksheet xmlns="http://schemas.openxmlformats.org/spreadsheetml/2006/main" xmlns:r="http://schemas.openxmlformats.org/officeDocument/2006/relationships">
  <sheetPr>
    <tabColor indexed="25"/>
  </sheetPr>
  <dimension ref="A1:DS523"/>
  <sheetViews>
    <sheetView showGridLines="0" tabSelected="1" zoomScalePageLayoutView="0" workbookViewId="0" topLeftCell="A1">
      <selection activeCell="B3" sqref="B3:F3"/>
    </sheetView>
  </sheetViews>
  <sheetFormatPr defaultColWidth="10.75390625" defaultRowHeight="12.75"/>
  <cols>
    <col min="1" max="1" width="15.625" style="3" customWidth="1"/>
    <col min="2" max="9" width="8.875" style="3" customWidth="1"/>
    <col min="10" max="10" width="8.375" style="3" customWidth="1"/>
    <col min="11" max="11" width="9.25390625" style="3" customWidth="1"/>
    <col min="12" max="12" width="10.00390625" style="3" customWidth="1"/>
    <col min="13" max="13" width="8.00390625" style="3" customWidth="1"/>
    <col min="14" max="14" width="11.00390625" style="3" customWidth="1"/>
    <col min="15" max="15" width="3.625" style="3" hidden="1" customWidth="1"/>
    <col min="16" max="16" width="11.875" style="3" hidden="1" customWidth="1"/>
    <col min="17" max="17" width="3.625" style="3" hidden="1" customWidth="1"/>
    <col min="18" max="18" width="6.875" style="3" hidden="1" customWidth="1"/>
    <col min="19" max="19" width="8.625" style="3" hidden="1" customWidth="1"/>
    <col min="20" max="20" width="7.125" style="3" hidden="1" customWidth="1"/>
    <col min="21" max="21" width="10.375" style="3" hidden="1" customWidth="1"/>
    <col min="22" max="22" width="6.75390625" style="18" hidden="1" customWidth="1"/>
    <col min="23" max="23" width="20.625" style="18" hidden="1" customWidth="1"/>
    <col min="24" max="24" width="6.75390625" style="18" hidden="1" customWidth="1"/>
    <col min="25" max="25" width="5.75390625" style="18" hidden="1" customWidth="1"/>
    <col min="26" max="26" width="3.625" style="3" hidden="1" customWidth="1"/>
    <col min="27" max="27" width="4.875" style="3" hidden="1" customWidth="1"/>
    <col min="28" max="28" width="3.625" style="18" hidden="1" customWidth="1"/>
    <col min="29" max="30" width="3.625" style="3" hidden="1" customWidth="1"/>
    <col min="31" max="31" width="20.625" style="3" hidden="1" customWidth="1"/>
    <col min="32" max="32" width="116.875" style="3" hidden="1" customWidth="1"/>
    <col min="33" max="34" width="4.875" style="3" hidden="1" customWidth="1"/>
    <col min="35" max="35" width="4.00390625" style="3" hidden="1" customWidth="1"/>
    <col min="36" max="43" width="3.625" style="3" hidden="1" customWidth="1"/>
    <col min="44" max="61" width="3.625" style="3" customWidth="1"/>
    <col min="62" max="115" width="4.125" style="3" customWidth="1"/>
    <col min="116" max="16384" width="10.75390625" style="3" customWidth="1"/>
  </cols>
  <sheetData>
    <row r="1" spans="1:31" ht="16.5" customHeight="1">
      <c r="A1" s="15" t="s">
        <v>281</v>
      </c>
      <c r="B1" s="16"/>
      <c r="C1" s="16"/>
      <c r="D1" s="17"/>
      <c r="E1" s="17"/>
      <c r="F1" s="17"/>
      <c r="G1" s="17"/>
      <c r="H1" s="17"/>
      <c r="I1" s="17"/>
      <c r="J1" s="17"/>
      <c r="K1" s="17"/>
      <c r="L1" s="17"/>
      <c r="M1" s="17"/>
      <c r="N1" s="17"/>
      <c r="O1" s="6"/>
      <c r="Y1" s="3"/>
      <c r="AC1" s="18"/>
      <c r="AD1" s="18"/>
      <c r="AE1" s="18"/>
    </row>
    <row r="2" spans="25:31" ht="9" customHeight="1">
      <c r="Y2" s="3"/>
      <c r="AC2" s="18"/>
      <c r="AD2" s="18"/>
      <c r="AE2" s="18"/>
    </row>
    <row r="3" spans="1:31" ht="11.25">
      <c r="A3" s="19" t="s">
        <v>370</v>
      </c>
      <c r="B3" s="236"/>
      <c r="C3" s="237"/>
      <c r="D3" s="237"/>
      <c r="E3" s="237"/>
      <c r="F3" s="238"/>
      <c r="G3" s="7"/>
      <c r="H3" s="19" t="s">
        <v>371</v>
      </c>
      <c r="I3" s="52"/>
      <c r="J3" s="7"/>
      <c r="N3" s="7"/>
      <c r="O3" s="7"/>
      <c r="P3" s="7"/>
      <c r="Q3" s="7"/>
      <c r="U3" s="3" t="e">
        <f>FIND(" ",B3)</f>
        <v>#VALUE!</v>
      </c>
      <c r="Y3" s="3"/>
      <c r="Z3" s="18"/>
      <c r="AC3" s="18"/>
      <c r="AD3" s="18"/>
      <c r="AE3" s="18"/>
    </row>
    <row r="4" spans="1:31" ht="11.25" customHeight="1">
      <c r="A4" s="7"/>
      <c r="B4" s="7"/>
      <c r="C4" s="7"/>
      <c r="D4" s="7"/>
      <c r="E4" s="7"/>
      <c r="F4" s="7"/>
      <c r="G4" s="7"/>
      <c r="H4" s="19" t="s">
        <v>372</v>
      </c>
      <c r="I4" s="53">
        <f ca="1">NOW()</f>
        <v>41765.68376620371</v>
      </c>
      <c r="J4" s="7"/>
      <c r="K4" s="7"/>
      <c r="L4" s="7"/>
      <c r="M4" s="7"/>
      <c r="N4" s="7"/>
      <c r="O4" s="7"/>
      <c r="P4" s="7"/>
      <c r="Q4" s="7"/>
      <c r="U4" s="3" t="e">
        <f>MID(B3,1,U3-1)</f>
        <v>#VALUE!</v>
      </c>
      <c r="Y4" s="3"/>
      <c r="AC4" s="18"/>
      <c r="AD4" s="18"/>
      <c r="AE4" s="18"/>
    </row>
    <row r="5" spans="1:31" ht="3.75" customHeight="1">
      <c r="A5" s="7"/>
      <c r="B5" s="7"/>
      <c r="C5" s="7"/>
      <c r="D5" s="7"/>
      <c r="E5" s="7"/>
      <c r="F5" s="7"/>
      <c r="G5" s="7"/>
      <c r="H5" s="19"/>
      <c r="I5" s="58"/>
      <c r="J5" s="7"/>
      <c r="K5" s="7"/>
      <c r="L5" s="7"/>
      <c r="M5" s="7"/>
      <c r="N5" s="7"/>
      <c r="O5" s="7"/>
      <c r="P5" s="7"/>
      <c r="Q5" s="7"/>
      <c r="Y5" s="3"/>
      <c r="AC5" s="18"/>
      <c r="AD5" s="18"/>
      <c r="AE5" s="18"/>
    </row>
    <row r="6" spans="2:31" ht="14.25">
      <c r="B6" s="256" t="s">
        <v>116</v>
      </c>
      <c r="C6" s="256"/>
      <c r="D6" s="256"/>
      <c r="E6" s="256"/>
      <c r="F6" s="256"/>
      <c r="G6" s="256"/>
      <c r="H6" s="256"/>
      <c r="I6" s="256"/>
      <c r="J6" s="256"/>
      <c r="K6" s="256"/>
      <c r="L6" s="20"/>
      <c r="M6" s="20"/>
      <c r="N6" s="20"/>
      <c r="O6" s="8"/>
      <c r="P6" s="7"/>
      <c r="Q6" s="7"/>
      <c r="R6" s="7"/>
      <c r="Y6" s="3"/>
      <c r="AC6" s="18"/>
      <c r="AD6" s="18"/>
      <c r="AE6" s="18"/>
    </row>
    <row r="7" spans="1:31" ht="6" customHeight="1">
      <c r="A7" s="7"/>
      <c r="B7" s="7"/>
      <c r="C7" s="7"/>
      <c r="D7" s="7"/>
      <c r="E7" s="7"/>
      <c r="F7" s="7"/>
      <c r="G7" s="7"/>
      <c r="H7" s="7"/>
      <c r="I7" s="7"/>
      <c r="L7" s="7"/>
      <c r="M7" s="7"/>
      <c r="N7" s="7"/>
      <c r="O7" s="7"/>
      <c r="P7" s="7"/>
      <c r="Y7" s="3"/>
      <c r="AC7" s="18"/>
      <c r="AD7" s="18"/>
      <c r="AE7" s="18"/>
    </row>
    <row r="8" spans="1:47" ht="12.75" customHeight="1">
      <c r="A8" s="19"/>
      <c r="B8" s="13" t="s">
        <v>65</v>
      </c>
      <c r="C8" s="13" t="s">
        <v>66</v>
      </c>
      <c r="D8" s="13" t="s">
        <v>75</v>
      </c>
      <c r="E8" s="13" t="s">
        <v>67</v>
      </c>
      <c r="F8" s="13" t="s">
        <v>68</v>
      </c>
      <c r="G8" s="13" t="s">
        <v>69</v>
      </c>
      <c r="H8" s="13" t="s">
        <v>70</v>
      </c>
      <c r="I8" s="18" t="s">
        <v>71</v>
      </c>
      <c r="J8" s="18" t="s">
        <v>72</v>
      </c>
      <c r="K8" s="18" t="s">
        <v>73</v>
      </c>
      <c r="L8" s="18" t="s">
        <v>74</v>
      </c>
      <c r="M8" s="13"/>
      <c r="N8" s="13"/>
      <c r="U8" s="41" t="s">
        <v>137</v>
      </c>
      <c r="V8" s="41" t="s">
        <v>123</v>
      </c>
      <c r="W8" s="41" t="s">
        <v>376</v>
      </c>
      <c r="X8" s="41" t="s">
        <v>124</v>
      </c>
      <c r="Y8" s="41" t="s">
        <v>125</v>
      </c>
      <c r="Z8" s="41" t="s">
        <v>126</v>
      </c>
      <c r="AA8" s="41" t="s">
        <v>127</v>
      </c>
      <c r="AB8" s="18" t="s">
        <v>373</v>
      </c>
      <c r="AC8" s="18" t="s">
        <v>128</v>
      </c>
      <c r="AD8" s="18" t="s">
        <v>136</v>
      </c>
      <c r="AT8" s="21"/>
      <c r="AU8" s="22"/>
    </row>
    <row r="9" spans="1:30" ht="11.25">
      <c r="A9" s="122" t="s">
        <v>117</v>
      </c>
      <c r="B9" s="51">
        <v>89</v>
      </c>
      <c r="C9" s="51">
        <v>85</v>
      </c>
      <c r="D9" s="51">
        <v>109</v>
      </c>
      <c r="E9" s="51"/>
      <c r="F9" s="51">
        <v>96</v>
      </c>
      <c r="G9" s="51">
        <v>82</v>
      </c>
      <c r="H9" s="51">
        <v>95</v>
      </c>
      <c r="I9" s="55">
        <v>86</v>
      </c>
      <c r="J9" s="63">
        <v>93</v>
      </c>
      <c r="K9" s="63">
        <v>99</v>
      </c>
      <c r="L9" s="63">
        <v>99</v>
      </c>
      <c r="Q9" s="3">
        <f>COUNT(B9:H9)</f>
        <v>6</v>
      </c>
      <c r="R9" s="3">
        <f>IF(Q9=7,1,0)</f>
        <v>0</v>
      </c>
      <c r="S9" s="3" t="s">
        <v>374</v>
      </c>
      <c r="U9" s="3">
        <f>IF(B9="",0,1)</f>
        <v>1</v>
      </c>
      <c r="V9" s="3">
        <f aca="true" t="shared" si="0" ref="V9:AD9">IF(C9="",0,1)</f>
        <v>1</v>
      </c>
      <c r="W9" s="3">
        <f t="shared" si="0"/>
        <v>1</v>
      </c>
      <c r="X9" s="3">
        <f t="shared" si="0"/>
        <v>0</v>
      </c>
      <c r="Y9" s="3">
        <f t="shared" si="0"/>
        <v>1</v>
      </c>
      <c r="Z9" s="3">
        <f t="shared" si="0"/>
        <v>1</v>
      </c>
      <c r="AA9" s="3">
        <f t="shared" si="0"/>
        <v>1</v>
      </c>
      <c r="AB9" s="3">
        <f t="shared" si="0"/>
        <v>1</v>
      </c>
      <c r="AC9" s="3">
        <f t="shared" si="0"/>
        <v>1</v>
      </c>
      <c r="AD9" s="3">
        <f t="shared" si="0"/>
        <v>1</v>
      </c>
    </row>
    <row r="10" spans="1:25" ht="12.75" customHeight="1">
      <c r="A10" s="123" t="s">
        <v>118</v>
      </c>
      <c r="B10" s="55"/>
      <c r="C10" s="55"/>
      <c r="D10" s="55"/>
      <c r="E10" s="55"/>
      <c r="F10" s="55"/>
      <c r="G10" s="55"/>
      <c r="H10" s="55"/>
      <c r="I10" s="55"/>
      <c r="J10" s="55"/>
      <c r="K10" s="55"/>
      <c r="L10" s="55"/>
      <c r="V10" s="3"/>
      <c r="W10" s="3"/>
      <c r="X10" s="3"/>
      <c r="Y10" s="3"/>
    </row>
    <row r="11" spans="1:30" ht="12.75">
      <c r="A11"/>
      <c r="B11" s="13" t="s">
        <v>280</v>
      </c>
      <c r="C11" s="18" t="s">
        <v>83</v>
      </c>
      <c r="D11" s="13" t="s">
        <v>76</v>
      </c>
      <c r="E11" s="13" t="s">
        <v>77</v>
      </c>
      <c r="F11" s="13" t="s">
        <v>78</v>
      </c>
      <c r="G11" s="13" t="s">
        <v>79</v>
      </c>
      <c r="H11" s="13" t="s">
        <v>80</v>
      </c>
      <c r="I11" s="18" t="s">
        <v>81</v>
      </c>
      <c r="J11" s="18" t="s">
        <v>82</v>
      </c>
      <c r="K11" s="18" t="s">
        <v>84</v>
      </c>
      <c r="L11" s="18" t="s">
        <v>85</v>
      </c>
      <c r="R11" s="7"/>
      <c r="U11" s="41" t="s">
        <v>129</v>
      </c>
      <c r="V11" s="41" t="s">
        <v>130</v>
      </c>
      <c r="W11" s="41" t="s">
        <v>131</v>
      </c>
      <c r="X11" s="41" t="s">
        <v>132</v>
      </c>
      <c r="Y11" s="41" t="s">
        <v>133</v>
      </c>
      <c r="Z11" s="41" t="s">
        <v>134</v>
      </c>
      <c r="AA11" s="42" t="s">
        <v>135</v>
      </c>
      <c r="AB11" s="18" t="s">
        <v>138</v>
      </c>
      <c r="AC11" s="18" t="s">
        <v>139</v>
      </c>
      <c r="AD11" s="18" t="s">
        <v>140</v>
      </c>
    </row>
    <row r="12" spans="1:30" ht="11.25">
      <c r="A12" s="122" t="s">
        <v>117</v>
      </c>
      <c r="B12" s="51">
        <v>98</v>
      </c>
      <c r="C12" s="51">
        <v>93</v>
      </c>
      <c r="D12" s="51">
        <v>99</v>
      </c>
      <c r="E12" s="51">
        <v>113</v>
      </c>
      <c r="F12" s="51">
        <v>112</v>
      </c>
      <c r="G12" s="51">
        <v>109</v>
      </c>
      <c r="H12" s="51">
        <v>104</v>
      </c>
      <c r="I12" s="51">
        <v>102</v>
      </c>
      <c r="J12" s="51">
        <v>77</v>
      </c>
      <c r="K12" s="51">
        <v>97</v>
      </c>
      <c r="L12" s="51">
        <v>89</v>
      </c>
      <c r="P12" s="7"/>
      <c r="Q12" s="3">
        <f>COUNT(B12:H12)</f>
        <v>7</v>
      </c>
      <c r="R12" s="3">
        <f>IF(Q12=7,1,0)</f>
        <v>1</v>
      </c>
      <c r="S12" s="3" t="s">
        <v>375</v>
      </c>
      <c r="U12" s="3">
        <f>IF(B12="",0,1)</f>
        <v>1</v>
      </c>
      <c r="V12" s="3">
        <f aca="true" t="shared" si="1" ref="V12:AD12">IF(C12="",0,1)</f>
        <v>1</v>
      </c>
      <c r="W12" s="3">
        <f t="shared" si="1"/>
        <v>1</v>
      </c>
      <c r="X12" s="3">
        <f t="shared" si="1"/>
        <v>1</v>
      </c>
      <c r="Y12" s="3">
        <f t="shared" si="1"/>
        <v>1</v>
      </c>
      <c r="Z12" s="3">
        <f t="shared" si="1"/>
        <v>1</v>
      </c>
      <c r="AA12" s="3">
        <f t="shared" si="1"/>
        <v>1</v>
      </c>
      <c r="AB12" s="3">
        <f t="shared" si="1"/>
        <v>1</v>
      </c>
      <c r="AC12" s="3">
        <f t="shared" si="1"/>
        <v>1</v>
      </c>
      <c r="AD12" s="3">
        <f t="shared" si="1"/>
        <v>1</v>
      </c>
    </row>
    <row r="13" spans="1:25" ht="12.75" customHeight="1">
      <c r="A13" s="123" t="s">
        <v>118</v>
      </c>
      <c r="B13" s="25"/>
      <c r="C13" s="55"/>
      <c r="D13" s="55"/>
      <c r="E13" s="55"/>
      <c r="F13" s="55"/>
      <c r="G13" s="55"/>
      <c r="H13" s="55"/>
      <c r="I13" s="55"/>
      <c r="J13" s="55"/>
      <c r="K13" s="55"/>
      <c r="L13" s="55"/>
      <c r="P13" s="7"/>
      <c r="R13" s="13"/>
      <c r="V13" s="3"/>
      <c r="W13" s="3"/>
      <c r="X13" s="3"/>
      <c r="Y13" s="3"/>
    </row>
    <row r="14" spans="1:25" ht="12.75" hidden="1">
      <c r="A14"/>
      <c r="B14"/>
      <c r="C14"/>
      <c r="D14"/>
      <c r="E14"/>
      <c r="F14"/>
      <c r="G14"/>
      <c r="H14"/>
      <c r="M14" s="7"/>
      <c r="N14" s="7"/>
      <c r="O14" s="7"/>
      <c r="P14" s="7"/>
      <c r="R14" s="7"/>
      <c r="U14" s="3">
        <f>U9+U12</f>
        <v>2</v>
      </c>
      <c r="V14" s="3" t="str">
        <f>IF(U14=1,"Verbal Ability (Std)","Verbal Ability (Ext)")</f>
        <v>Verbal Ability (Ext)</v>
      </c>
      <c r="W14" s="3"/>
      <c r="X14" s="3"/>
      <c r="Y14" s="3"/>
    </row>
    <row r="15" spans="1:25" ht="12.75" hidden="1">
      <c r="A15"/>
      <c r="B15"/>
      <c r="C15"/>
      <c r="D15"/>
      <c r="E15"/>
      <c r="F15"/>
      <c r="G15"/>
      <c r="H15"/>
      <c r="M15" s="7"/>
      <c r="N15" s="7"/>
      <c r="O15" s="7"/>
      <c r="P15" s="7"/>
      <c r="Q15" s="3">
        <f>COUNT(B15:H15)</f>
        <v>0</v>
      </c>
      <c r="R15" s="3">
        <f>IF(Q15=7,1,0)</f>
        <v>0</v>
      </c>
      <c r="S15" s="3" t="s">
        <v>377</v>
      </c>
      <c r="T15" s="3">
        <f>COUNT(D15:H15)</f>
        <v>0</v>
      </c>
      <c r="U15" s="3">
        <f>SUM(V9+W9+X9+Y9+V12+W12+X12+Y12)</f>
        <v>7</v>
      </c>
      <c r="V15" s="3" t="str">
        <f>IF(U15=4,"Thinking Ability (Std)","Thinking Ability (Ext)")</f>
        <v>Thinking Ability (Ext)</v>
      </c>
      <c r="W15" s="3"/>
      <c r="X15" s="3"/>
      <c r="Y15" s="3"/>
    </row>
    <row r="16" spans="1:25" ht="4.5" customHeight="1">
      <c r="A16" s="7"/>
      <c r="I16" s="7"/>
      <c r="M16" s="7"/>
      <c r="N16" s="7"/>
      <c r="O16" s="7"/>
      <c r="P16" s="7"/>
      <c r="Q16" s="7"/>
      <c r="R16" s="7"/>
      <c r="U16" s="3">
        <f>SUM(Z9+AA9+Z12+AA12)</f>
        <v>4</v>
      </c>
      <c r="V16" s="3" t="str">
        <f>IF(U16=2,"Cognitive Efficiency (Std)","Cognitive Efficiency (Ext)")</f>
        <v>Cognitive Efficiency (Ext)</v>
      </c>
      <c r="W16" s="3"/>
      <c r="X16" s="3"/>
      <c r="Y16" s="3"/>
    </row>
    <row r="17" spans="1:36" ht="11.25">
      <c r="A17" s="7"/>
      <c r="B17" s="7"/>
      <c r="C17" s="41" t="s">
        <v>378</v>
      </c>
      <c r="D17" s="62"/>
      <c r="E17" s="41" t="s">
        <v>379</v>
      </c>
      <c r="F17" s="239" t="s">
        <v>380</v>
      </c>
      <c r="G17" s="239"/>
      <c r="H17" s="239" t="s">
        <v>381</v>
      </c>
      <c r="I17" s="239"/>
      <c r="M17" s="7"/>
      <c r="P17" s="7"/>
      <c r="Q17" s="7"/>
      <c r="R17" s="7">
        <f>R9+R12</f>
        <v>1</v>
      </c>
      <c r="S17" s="3">
        <f>IF(R15=1,1,0)</f>
        <v>0</v>
      </c>
      <c r="T17" s="3">
        <f>R17+S17</f>
        <v>1</v>
      </c>
      <c r="W17" s="3"/>
      <c r="Y17" s="3"/>
      <c r="AJ17" s="19"/>
    </row>
    <row r="18" spans="1:36" ht="12.75">
      <c r="A18" s="7"/>
      <c r="B18" s="7"/>
      <c r="C18" s="41" t="s">
        <v>382</v>
      </c>
      <c r="D18" s="124" t="s">
        <v>118</v>
      </c>
      <c r="E18" s="41" t="s">
        <v>282</v>
      </c>
      <c r="F18" s="239" t="s">
        <v>283</v>
      </c>
      <c r="G18" s="239"/>
      <c r="H18" s="239" t="s">
        <v>284</v>
      </c>
      <c r="I18" s="239"/>
      <c r="K18" s="244" t="s">
        <v>11</v>
      </c>
      <c r="L18" s="257"/>
      <c r="M18" s="71"/>
      <c r="P18" s="7"/>
      <c r="Q18" s="7"/>
      <c r="R18" s="7" t="s">
        <v>383</v>
      </c>
      <c r="W18" s="3"/>
      <c r="Y18" s="3"/>
      <c r="AJ18" s="19"/>
    </row>
    <row r="19" spans="2:36" ht="12.75">
      <c r="B19" s="19" t="s">
        <v>341</v>
      </c>
      <c r="C19" s="54"/>
      <c r="D19" s="55"/>
      <c r="E19" s="25">
        <f>IF(C19="","",LOOKUP(C19,conversion)&amp;" PR")</f>
      </c>
      <c r="F19" s="234">
        <f>IF(C19="","",-8+C19&amp;" to "&amp;C19+8)</f>
      </c>
      <c r="G19" s="234"/>
      <c r="H19" s="26">
        <f>IF(C19="","",LOOKUP((-8+C19),$B$485:$H$486)&amp;" to "&amp;LOOKUP((8+C19),$B$485:$H$486))</f>
      </c>
      <c r="K19" s="257"/>
      <c r="L19" s="257"/>
      <c r="M19" s="71"/>
      <c r="P19" s="7"/>
      <c r="Q19" s="7">
        <f>IF(C19="",0,0.5)</f>
        <v>0</v>
      </c>
      <c r="R19" s="7"/>
      <c r="V19" s="23"/>
      <c r="W19" s="3"/>
      <c r="Y19" s="3"/>
      <c r="AJ19" s="19"/>
    </row>
    <row r="20" spans="2:36" ht="12.75" customHeight="1">
      <c r="B20" s="23" t="s">
        <v>342</v>
      </c>
      <c r="C20" s="56">
        <v>102</v>
      </c>
      <c r="D20" s="55"/>
      <c r="E20" s="25" t="str">
        <f aca="true" t="shared" si="2" ref="E20:E40">IF(C20="","",LOOKUP(C20,conversion)&amp;" PR")</f>
        <v>55 PR</v>
      </c>
      <c r="F20" s="234" t="str">
        <f>IF(C20="","",-10+C20&amp;" to "&amp;C20+10)</f>
        <v>92 to 112</v>
      </c>
      <c r="G20" s="234"/>
      <c r="H20" s="26" t="str">
        <f>IF(C20="","",LOOKUP((-10+C20),$B$485:$H$486)&amp;" to "&amp;LOOKUP((10+C20),$B$485:$H$486))</f>
        <v>Average to High Average</v>
      </c>
      <c r="K20" s="257"/>
      <c r="L20" s="257"/>
      <c r="M20" s="71"/>
      <c r="P20" s="7"/>
      <c r="Q20" s="9">
        <f>(C21+C22+C23+C24+C25+C26)/6</f>
        <v>45.166666666666664</v>
      </c>
      <c r="R20" s="7"/>
      <c r="S20" s="3">
        <f>COUNT(B15:H15)</f>
        <v>0</v>
      </c>
      <c r="T20" s="3">
        <f>B15+C15+D15+E15+F15+G15+H15</f>
        <v>0</v>
      </c>
      <c r="W20" s="27" t="s">
        <v>144</v>
      </c>
      <c r="Y20" s="3"/>
      <c r="AJ20" s="27"/>
    </row>
    <row r="21" spans="2:36" s="29" customFormat="1" ht="12.75" customHeight="1">
      <c r="B21" s="23" t="s">
        <v>343</v>
      </c>
      <c r="C21" s="55"/>
      <c r="D21" s="55"/>
      <c r="E21" s="25">
        <f t="shared" si="2"/>
      </c>
      <c r="F21" s="234">
        <f>IF(C21="","",-6+C21&amp;" to "&amp;C21+6)</f>
      </c>
      <c r="G21" s="234"/>
      <c r="H21" s="26">
        <f>IF(C21="","",LOOKUP((-6+C21),$B$485:$H$486)&amp;" to "&amp;LOOKUP((6+C21),$B$485:$H$486))</f>
      </c>
      <c r="K21" s="257"/>
      <c r="L21" s="257"/>
      <c r="M21" s="71"/>
      <c r="N21" s="3"/>
      <c r="O21" s="3"/>
      <c r="P21" s="10"/>
      <c r="Q21" s="9">
        <f>(C20+C22+C23+C24+C25+C26)/6</f>
        <v>62.166666666666664</v>
      </c>
      <c r="R21" s="10"/>
      <c r="S21" s="3" t="e">
        <f>S20+#REF!+#REF!</f>
        <v>#REF!</v>
      </c>
      <c r="T21" s="3" t="e">
        <f>#REF!+#REF!+T20</f>
        <v>#REF!</v>
      </c>
      <c r="U21" s="3"/>
      <c r="V21" s="18"/>
      <c r="W21" s="27" t="s">
        <v>145</v>
      </c>
      <c r="X21" s="18"/>
      <c r="Y21" s="3"/>
      <c r="Z21" s="3"/>
      <c r="AA21" s="3"/>
      <c r="AB21" s="30"/>
      <c r="AF21" s="3" t="s">
        <v>237</v>
      </c>
      <c r="AJ21" s="3"/>
    </row>
    <row r="22" spans="2:36" s="29" customFormat="1" ht="12.75" customHeight="1">
      <c r="B22"/>
      <c r="C22"/>
      <c r="D22" s="136"/>
      <c r="E22"/>
      <c r="F22"/>
      <c r="G22"/>
      <c r="H22"/>
      <c r="I22"/>
      <c r="K22" s="257"/>
      <c r="L22" s="257"/>
      <c r="M22" s="71"/>
      <c r="N22" s="3"/>
      <c r="O22" s="3"/>
      <c r="P22" s="10"/>
      <c r="Q22" s="9">
        <f>(C20+C21+C23+C24+C25+C26)/6</f>
        <v>62.166666666666664</v>
      </c>
      <c r="R22" s="10"/>
      <c r="S22" s="3"/>
      <c r="T22" s="3"/>
      <c r="U22" s="3"/>
      <c r="V22" s="18"/>
      <c r="W22" s="27" t="s">
        <v>146</v>
      </c>
      <c r="X22" s="18"/>
      <c r="Y22" s="3"/>
      <c r="Z22" s="3"/>
      <c r="AA22" s="3"/>
      <c r="AB22" s="30"/>
      <c r="AF22" s="3" t="s">
        <v>122</v>
      </c>
      <c r="AJ22" s="3"/>
    </row>
    <row r="23" spans="2:32" s="29" customFormat="1" ht="12.75">
      <c r="B23" s="23" t="s">
        <v>344</v>
      </c>
      <c r="C23" s="55">
        <v>90</v>
      </c>
      <c r="D23" s="55"/>
      <c r="E23" s="25" t="str">
        <f>IF(C23="","",LOOKUP(C23,conversion)&amp;" PR")</f>
        <v>25 PR</v>
      </c>
      <c r="F23" s="234" t="str">
        <f>IF(C23="","",-3+C23&amp;" to "&amp;C23+3)</f>
        <v>87 to 93</v>
      </c>
      <c r="G23" s="234"/>
      <c r="H23" s="26" t="str">
        <f>IF(C23="","",LOOKUP((-10+C23),$B$485:$H$486)&amp;" to "&amp;LOOKUP((10+C23),$B$485:$H$486))</f>
        <v>Low Average to Average</v>
      </c>
      <c r="K23" s="257"/>
      <c r="L23" s="257"/>
      <c r="M23" s="71"/>
      <c r="N23" s="3"/>
      <c r="O23" s="3"/>
      <c r="P23" s="10"/>
      <c r="Q23" s="9">
        <f>(C20+C21+C22+C24+C25+C26)/6</f>
        <v>47.166666666666664</v>
      </c>
      <c r="R23" s="10"/>
      <c r="S23" s="3"/>
      <c r="T23" s="3"/>
      <c r="U23" s="3"/>
      <c r="V23" s="18"/>
      <c r="W23" s="19" t="s">
        <v>147</v>
      </c>
      <c r="X23" s="18"/>
      <c r="Y23" s="3"/>
      <c r="Z23" s="3"/>
      <c r="AA23" s="3"/>
      <c r="AB23" s="30"/>
      <c r="AF23" s="3"/>
    </row>
    <row r="24" spans="2:32" s="29" customFormat="1" ht="12.75" customHeight="1">
      <c r="B24"/>
      <c r="C24"/>
      <c r="D24" s="136"/>
      <c r="E24"/>
      <c r="F24"/>
      <c r="G24"/>
      <c r="H24"/>
      <c r="I24"/>
      <c r="K24" s="257"/>
      <c r="L24" s="257"/>
      <c r="M24" s="3"/>
      <c r="N24" s="3"/>
      <c r="O24" s="3"/>
      <c r="P24" s="10"/>
      <c r="Q24" s="9">
        <f>(C20+C21+C22+C23+C25+C26)/6</f>
        <v>62.166666666666664</v>
      </c>
      <c r="R24" s="10"/>
      <c r="S24" s="3"/>
      <c r="T24" s="3"/>
      <c r="U24" s="3"/>
      <c r="V24" s="18"/>
      <c r="W24" s="19" t="s">
        <v>148</v>
      </c>
      <c r="X24" s="18"/>
      <c r="Y24" s="3"/>
      <c r="Z24" s="3"/>
      <c r="AA24" s="3"/>
      <c r="AB24" s="30"/>
      <c r="AF24" s="3"/>
    </row>
    <row r="25" spans="2:25" ht="12.75" customHeight="1">
      <c r="B25" s="19" t="s">
        <v>345</v>
      </c>
      <c r="C25" s="56">
        <v>86</v>
      </c>
      <c r="D25" s="137"/>
      <c r="E25" s="25" t="str">
        <f t="shared" si="2"/>
        <v>18 PR</v>
      </c>
      <c r="F25" s="234" t="str">
        <f>IF(C25="","",-4+C25&amp;" to "&amp;C25+4)</f>
        <v>82 to 90</v>
      </c>
      <c r="G25" s="234"/>
      <c r="H25" s="26" t="str">
        <f>IF(C25="","",LOOKUP((-4+C25),$B$485:$H$486)&amp;" to "&amp;LOOKUP((4+C25),$B$485:$H$486))</f>
        <v>Low Average to Average</v>
      </c>
      <c r="P25" s="7"/>
      <c r="Q25" s="9">
        <f>(C20+C21+C22+C23+C24+C26)/6</f>
        <v>47.833333333333336</v>
      </c>
      <c r="R25" s="7"/>
      <c r="Y25" s="3"/>
    </row>
    <row r="26" spans="1:25" ht="12.75" customHeight="1">
      <c r="A26" s="11"/>
      <c r="B26" s="27" t="s">
        <v>346</v>
      </c>
      <c r="C26" s="56">
        <v>95</v>
      </c>
      <c r="D26" s="137"/>
      <c r="E26" s="25" t="str">
        <f t="shared" si="2"/>
        <v>37 PR</v>
      </c>
      <c r="F26" s="234" t="str">
        <f>IF(C26="","",-6+C26&amp;" to "&amp;C26+6)</f>
        <v>89 to 101</v>
      </c>
      <c r="G26" s="234"/>
      <c r="H26" s="26" t="str">
        <f>IF(C26="","",LOOKUP((-6+C26),$B$485:$H$486)&amp;" to "&amp;LOOKUP((6+C26),$B$485:$H$486))</f>
        <v>Low Average to Average</v>
      </c>
      <c r="N26" s="13"/>
      <c r="O26" s="11"/>
      <c r="P26" s="7"/>
      <c r="Q26" s="9">
        <f>(C20+C21+C22+C23+C24+C25)/6</f>
        <v>46.333333333333336</v>
      </c>
      <c r="R26" s="7"/>
      <c r="W26" s="31"/>
      <c r="X26" s="31"/>
      <c r="Y26" s="3"/>
    </row>
    <row r="27" spans="1:25" ht="12.75" customHeight="1">
      <c r="A27" s="11"/>
      <c r="B27" s="27" t="s">
        <v>347</v>
      </c>
      <c r="C27" s="55">
        <v>92</v>
      </c>
      <c r="D27" s="137"/>
      <c r="E27" s="25" t="str">
        <f t="shared" si="2"/>
        <v>30 PR</v>
      </c>
      <c r="F27" s="234" t="str">
        <f>IF(C27="","",-6+C27&amp;" to "&amp;C27+6)</f>
        <v>86 to 98</v>
      </c>
      <c r="G27" s="234"/>
      <c r="H27" s="26" t="str">
        <f>IF(C27="","",LOOKUP((-6+C27),$B$485:$H$486)&amp;" to "&amp;LOOKUP((6+C27),$B$485:$H$486))</f>
        <v>Low Average to Average</v>
      </c>
      <c r="N27" s="13"/>
      <c r="O27" s="11"/>
      <c r="P27" s="7"/>
      <c r="R27" s="7"/>
      <c r="W27" s="31"/>
      <c r="X27" s="31"/>
      <c r="Y27" s="3"/>
    </row>
    <row r="28" spans="1:25" ht="12.75" customHeight="1">
      <c r="A28" s="7"/>
      <c r="B28"/>
      <c r="C28"/>
      <c r="D28" s="136"/>
      <c r="E28"/>
      <c r="F28"/>
      <c r="G28"/>
      <c r="H28"/>
      <c r="N28" s="7"/>
      <c r="O28" s="11"/>
      <c r="P28" s="7"/>
      <c r="R28" s="7"/>
      <c r="W28" s="31"/>
      <c r="X28" s="31"/>
      <c r="Y28" s="3"/>
    </row>
    <row r="29" spans="2:25" ht="12.75" customHeight="1">
      <c r="B29" s="27" t="s">
        <v>348</v>
      </c>
      <c r="C29" s="55">
        <v>89</v>
      </c>
      <c r="D29" s="137"/>
      <c r="E29" s="25" t="str">
        <f t="shared" si="2"/>
        <v>23 PR</v>
      </c>
      <c r="F29" s="234" t="str">
        <f>IF(C29="","",-6+C29&amp;" to "&amp;C29+6)</f>
        <v>83 to 95</v>
      </c>
      <c r="G29" s="234"/>
      <c r="H29" s="26" t="str">
        <f>IF(C29="","",LOOKUP((-6+C29),$B$485:$H$486)&amp;" to "&amp;LOOKUP((6+C29),$B$485:$H$486))</f>
        <v>Low Average to Average</v>
      </c>
      <c r="L29" s="13"/>
      <c r="M29" s="24"/>
      <c r="P29" s="7"/>
      <c r="Q29" s="7"/>
      <c r="R29" s="7"/>
      <c r="W29" s="31"/>
      <c r="X29" s="31"/>
      <c r="Y29" s="3"/>
    </row>
    <row r="30" spans="2:25" ht="12.75" customHeight="1">
      <c r="B30" s="27" t="s">
        <v>349</v>
      </c>
      <c r="C30" s="57">
        <v>99</v>
      </c>
      <c r="D30" s="137"/>
      <c r="E30" s="25" t="str">
        <f>IF(C30="","",LOOKUP(C30,conversion)&amp;" PR")</f>
        <v>47 PR</v>
      </c>
      <c r="F30" s="234" t="str">
        <f>IF(C30="","",-7+C30&amp;" to "&amp;C30+7)</f>
        <v>92 to 106</v>
      </c>
      <c r="G30" s="234"/>
      <c r="H30" s="26" t="str">
        <f aca="true" t="shared" si="3" ref="H30:H40">IF(C30="","",LOOKUP((-7+C30),$B$485:$H$486)&amp;" to "&amp;LOOKUP((7+C30),$B$485:$H$486))</f>
        <v>Average to Average</v>
      </c>
      <c r="L30" s="13"/>
      <c r="M30" s="24"/>
      <c r="P30" s="7"/>
      <c r="Q30" s="7"/>
      <c r="R30" s="7"/>
      <c r="W30" s="31"/>
      <c r="X30" s="31"/>
      <c r="Y30" s="3"/>
    </row>
    <row r="31" spans="2:108" ht="12.75" customHeight="1">
      <c r="B31" s="27" t="s">
        <v>350</v>
      </c>
      <c r="C31" s="57">
        <v>92</v>
      </c>
      <c r="D31" s="137"/>
      <c r="E31" s="25" t="str">
        <f>IF(C31="","",LOOKUP(C31,conversion)&amp;" PR")</f>
        <v>30 PR</v>
      </c>
      <c r="F31" s="234" t="str">
        <f aca="true" t="shared" si="4" ref="F31:F38">IF(C31="","",-7+C31&amp;" to "&amp;C31+7)</f>
        <v>85 to 99</v>
      </c>
      <c r="G31" s="234"/>
      <c r="H31" s="26" t="str">
        <f t="shared" si="3"/>
        <v>Low Average to Average</v>
      </c>
      <c r="M31" s="7"/>
      <c r="P31" s="7"/>
      <c r="Q31" s="7"/>
      <c r="R31" s="7"/>
      <c r="W31" s="31"/>
      <c r="X31" s="31"/>
      <c r="Y31" s="3"/>
      <c r="AJ31" s="18"/>
      <c r="AR31" s="18"/>
      <c r="AZ31" s="18"/>
      <c r="BH31" s="18"/>
      <c r="BP31" s="18"/>
      <c r="BX31" s="18"/>
      <c r="CF31" s="18"/>
      <c r="CN31" s="18"/>
      <c r="CV31" s="18"/>
      <c r="DD31" s="18"/>
    </row>
    <row r="32" spans="2:108" ht="12.75" customHeight="1">
      <c r="B32" s="27" t="s">
        <v>351</v>
      </c>
      <c r="C32" s="55">
        <v>101</v>
      </c>
      <c r="D32" s="137"/>
      <c r="E32" s="25" t="str">
        <f t="shared" si="2"/>
        <v>53 PR</v>
      </c>
      <c r="F32" s="234" t="str">
        <f t="shared" si="4"/>
        <v>94 to 108</v>
      </c>
      <c r="G32" s="234"/>
      <c r="H32" s="26" t="str">
        <f t="shared" si="3"/>
        <v>Average to Average</v>
      </c>
      <c r="P32" s="7"/>
      <c r="Q32" s="7"/>
      <c r="R32" s="7"/>
      <c r="AD32" s="18"/>
      <c r="AE32" s="11" t="s">
        <v>149</v>
      </c>
      <c r="AG32" s="18" t="e">
        <f>(AF40+AF41+AF42+AF43+AF44+AF45+AF46)/AJ47</f>
        <v>#VALUE!</v>
      </c>
      <c r="DD32" s="18"/>
    </row>
    <row r="33" spans="2:108" ht="12.75" customHeight="1">
      <c r="B33" s="27" t="s">
        <v>352</v>
      </c>
      <c r="C33" s="57">
        <v>104</v>
      </c>
      <c r="D33" s="137"/>
      <c r="E33" s="25" t="str">
        <f t="shared" si="2"/>
        <v>61 PR</v>
      </c>
      <c r="F33" s="234" t="str">
        <f t="shared" si="4"/>
        <v>97 to 111</v>
      </c>
      <c r="G33" s="234"/>
      <c r="H33" s="26" t="str">
        <f t="shared" si="3"/>
        <v>Average to High Average</v>
      </c>
      <c r="P33" s="7"/>
      <c r="Q33" s="7"/>
      <c r="R33" s="7"/>
      <c r="AD33" s="18"/>
      <c r="DD33" s="18"/>
    </row>
    <row r="34" spans="2:108" ht="12.75" customHeight="1">
      <c r="B34" s="27" t="s">
        <v>353</v>
      </c>
      <c r="C34" s="57">
        <v>89</v>
      </c>
      <c r="D34" s="137"/>
      <c r="E34" s="25" t="str">
        <f t="shared" si="2"/>
        <v>23 PR</v>
      </c>
      <c r="F34" s="234" t="str">
        <f t="shared" si="4"/>
        <v>82 to 96</v>
      </c>
      <c r="G34" s="234"/>
      <c r="H34" s="26" t="str">
        <f t="shared" si="3"/>
        <v>Low Average to Average</v>
      </c>
      <c r="P34" s="7"/>
      <c r="Q34" s="7"/>
      <c r="R34" s="7"/>
      <c r="AD34" s="18"/>
      <c r="DD34" s="18"/>
    </row>
    <row r="35" spans="2:108" ht="12.75" customHeight="1">
      <c r="B35"/>
      <c r="C35"/>
      <c r="D35" s="136"/>
      <c r="E35"/>
      <c r="F35"/>
      <c r="G35"/>
      <c r="H35"/>
      <c r="P35" s="7"/>
      <c r="Q35" s="7"/>
      <c r="R35" s="7"/>
      <c r="AD35" s="18"/>
      <c r="DD35" s="18"/>
    </row>
    <row r="36" spans="2:108" ht="12.75" customHeight="1">
      <c r="B36" s="27" t="s">
        <v>354</v>
      </c>
      <c r="C36" s="55">
        <v>90</v>
      </c>
      <c r="D36" s="137"/>
      <c r="E36" s="25" t="str">
        <f t="shared" si="2"/>
        <v>25 PR</v>
      </c>
      <c r="F36" s="234" t="str">
        <f t="shared" si="4"/>
        <v>83 to 97</v>
      </c>
      <c r="G36" s="234"/>
      <c r="H36" s="26" t="str">
        <f t="shared" si="3"/>
        <v>Low Average to Average</v>
      </c>
      <c r="P36" s="7"/>
      <c r="Q36" s="7"/>
      <c r="R36" s="7"/>
      <c r="AD36" s="18"/>
      <c r="DD36" s="18"/>
    </row>
    <row r="37" spans="2:108" ht="12.75" customHeight="1">
      <c r="B37" s="27" t="s">
        <v>355</v>
      </c>
      <c r="C37" s="57">
        <v>82</v>
      </c>
      <c r="D37" s="137"/>
      <c r="E37" s="25" t="str">
        <f t="shared" si="2"/>
        <v>12 PR</v>
      </c>
      <c r="F37" s="234" t="str">
        <f t="shared" si="4"/>
        <v>75 to 89</v>
      </c>
      <c r="G37" s="234"/>
      <c r="H37" s="26" t="str">
        <f t="shared" si="3"/>
        <v>Low to Low Average</v>
      </c>
      <c r="P37" s="7"/>
      <c r="Q37" s="7"/>
      <c r="R37" s="7"/>
      <c r="AD37" s="18"/>
      <c r="DD37" s="18"/>
    </row>
    <row r="38" spans="2:108" ht="12.75" customHeight="1">
      <c r="B38" s="27" t="s">
        <v>356</v>
      </c>
      <c r="C38" s="57">
        <v>96</v>
      </c>
      <c r="D38" s="137"/>
      <c r="E38" s="25" t="str">
        <f t="shared" si="2"/>
        <v>39 PR</v>
      </c>
      <c r="F38" s="234" t="str">
        <f t="shared" si="4"/>
        <v>89 to 103</v>
      </c>
      <c r="G38" s="234"/>
      <c r="H38" s="26" t="str">
        <f t="shared" si="3"/>
        <v>Low Average to Average</v>
      </c>
      <c r="P38" s="7"/>
      <c r="Q38" s="7"/>
      <c r="R38" s="7"/>
      <c r="AD38" s="18"/>
      <c r="DD38" s="18"/>
    </row>
    <row r="39" spans="2:108" ht="12.75" customHeight="1">
      <c r="B39" s="23" t="s">
        <v>357</v>
      </c>
      <c r="C39" s="57">
        <v>102</v>
      </c>
      <c r="D39" s="137"/>
      <c r="E39" s="25" t="str">
        <f t="shared" si="2"/>
        <v>55 PR</v>
      </c>
      <c r="F39" s="234" t="str">
        <f>IF(C39="","",-7+C39&amp;" to "&amp;C39+7)</f>
        <v>95 to 109</v>
      </c>
      <c r="G39" s="234"/>
      <c r="H39" s="26" t="str">
        <f t="shared" si="3"/>
        <v>Average to Average</v>
      </c>
      <c r="I39"/>
      <c r="P39" s="7"/>
      <c r="Q39" s="7"/>
      <c r="R39" s="7"/>
      <c r="AD39" s="18"/>
      <c r="DD39" s="18"/>
    </row>
    <row r="40" spans="2:36" ht="12.75" customHeight="1">
      <c r="B40" s="23" t="s">
        <v>358</v>
      </c>
      <c r="C40" s="57">
        <v>87</v>
      </c>
      <c r="D40" s="137"/>
      <c r="E40" s="25" t="str">
        <f t="shared" si="2"/>
        <v>19 PR</v>
      </c>
      <c r="F40" s="234" t="str">
        <f>IF(C40="","",-7+C40&amp;" to "&amp;C40+7)</f>
        <v>80 to 94</v>
      </c>
      <c r="G40" s="234"/>
      <c r="H40" s="26" t="str">
        <f t="shared" si="3"/>
        <v>Low Average to Average</v>
      </c>
      <c r="P40" s="7"/>
      <c r="Q40" s="7"/>
      <c r="R40" s="7"/>
      <c r="AD40" s="18"/>
      <c r="AE40" s="32" t="s">
        <v>141</v>
      </c>
      <c r="AF40" s="33">
        <f aca="true" t="shared" si="5" ref="AF40:AF46">IF(C20="","",C20)</f>
        <v>102</v>
      </c>
      <c r="AG40" s="34">
        <v>9.401265492322983</v>
      </c>
      <c r="AH40" s="12" t="e">
        <f aca="true" t="shared" si="6" ref="AH40:AH46">-($AG$32-AF40)</f>
        <v>#VALUE!</v>
      </c>
      <c r="AI40" s="28" t="e">
        <f aca="true" t="shared" si="7" ref="AI40:AI46">IF(AF40="","",IF(AH40&gt;=AG40,"* S",IF(AH40&lt;=-AG40,"* W","")))</f>
        <v>#VALUE!</v>
      </c>
      <c r="AJ40" s="3">
        <f aca="true" t="shared" si="8" ref="AJ40:AJ46">IF(C20="",0,1)</f>
        <v>1</v>
      </c>
    </row>
    <row r="41" spans="1:36" ht="1.5" customHeight="1">
      <c r="A41" s="35"/>
      <c r="P41" s="7"/>
      <c r="Q41" s="7"/>
      <c r="R41" s="7"/>
      <c r="AD41" s="18"/>
      <c r="AE41" s="27" t="s">
        <v>142</v>
      </c>
      <c r="AF41" s="33">
        <f t="shared" si="5"/>
      </c>
      <c r="AG41" s="34">
        <v>13.030346037505788</v>
      </c>
      <c r="AH41" s="12" t="e">
        <f t="shared" si="6"/>
        <v>#VALUE!</v>
      </c>
      <c r="AI41" s="28">
        <f t="shared" si="7"/>
      </c>
      <c r="AJ41" s="3">
        <f t="shared" si="8"/>
        <v>0</v>
      </c>
    </row>
    <row r="42" spans="1:36" ht="2.25" customHeight="1">
      <c r="A42" s="35"/>
      <c r="P42" s="7"/>
      <c r="Q42" s="7"/>
      <c r="R42" s="7"/>
      <c r="AD42" s="18"/>
      <c r="AE42" s="27" t="s">
        <v>143</v>
      </c>
      <c r="AF42" s="33">
        <f t="shared" si="5"/>
      </c>
      <c r="AG42" s="34">
        <v>13.512302132818503</v>
      </c>
      <c r="AH42" s="12" t="e">
        <f t="shared" si="6"/>
        <v>#VALUE!</v>
      </c>
      <c r="AI42" s="28">
        <f t="shared" si="7"/>
      </c>
      <c r="AJ42" s="3">
        <f t="shared" si="8"/>
        <v>0</v>
      </c>
    </row>
    <row r="43" spans="16:36" ht="13.5" customHeight="1">
      <c r="P43" s="7"/>
      <c r="Q43" s="7"/>
      <c r="R43" s="7"/>
      <c r="AD43" s="18"/>
      <c r="AE43" s="27" t="s">
        <v>144</v>
      </c>
      <c r="AF43" s="33">
        <f t="shared" si="5"/>
        <v>90</v>
      </c>
      <c r="AG43" s="34">
        <v>12.200693188737855</v>
      </c>
      <c r="AH43" s="12" t="e">
        <f t="shared" si="6"/>
        <v>#VALUE!</v>
      </c>
      <c r="AI43" s="28" t="e">
        <f t="shared" si="7"/>
        <v>#VALUE!</v>
      </c>
      <c r="AJ43" s="3">
        <f t="shared" si="8"/>
        <v>1</v>
      </c>
    </row>
    <row r="44" spans="16:36" ht="2.25" customHeight="1" hidden="1">
      <c r="P44" s="7"/>
      <c r="Q44" s="7"/>
      <c r="R44" s="7"/>
      <c r="AD44" s="18"/>
      <c r="AE44" s="27" t="s">
        <v>145</v>
      </c>
      <c r="AF44" s="33">
        <f t="shared" si="5"/>
      </c>
      <c r="AG44" s="34">
        <v>15.849165367840124</v>
      </c>
      <c r="AH44" s="12" t="e">
        <f t="shared" si="6"/>
        <v>#VALUE!</v>
      </c>
      <c r="AI44" s="28">
        <f t="shared" si="7"/>
      </c>
      <c r="AJ44" s="3">
        <f t="shared" si="8"/>
        <v>0</v>
      </c>
    </row>
    <row r="45" spans="1:36" ht="13.5" customHeight="1">
      <c r="A45" s="258" t="s">
        <v>365</v>
      </c>
      <c r="D45" s="36" t="s">
        <v>89</v>
      </c>
      <c r="E45" s="33">
        <f>IF(C25="","",C25)</f>
        <v>86</v>
      </c>
      <c r="F45" s="25" t="str">
        <f>IF(E45="","",E25)</f>
        <v>18 PR</v>
      </c>
      <c r="G45" s="234" t="str">
        <f>IF(F45="","",F25)</f>
        <v>82 to 90</v>
      </c>
      <c r="H45" s="234"/>
      <c r="I45" s="26" t="str">
        <f>IF(F45="","",H25)</f>
        <v>Low Average to Average</v>
      </c>
      <c r="P45" s="7"/>
      <c r="Q45" s="7"/>
      <c r="R45" s="7"/>
      <c r="AD45" s="18"/>
      <c r="AE45" s="27" t="s">
        <v>146</v>
      </c>
      <c r="AF45" s="33">
        <f t="shared" si="5"/>
        <v>86</v>
      </c>
      <c r="AG45" s="34">
        <v>9.94234854764492</v>
      </c>
      <c r="AH45" s="12" t="e">
        <f t="shared" si="6"/>
        <v>#VALUE!</v>
      </c>
      <c r="AI45" s="28" t="e">
        <f t="shared" si="7"/>
        <v>#VALUE!</v>
      </c>
      <c r="AJ45" s="3">
        <f t="shared" si="8"/>
        <v>1</v>
      </c>
    </row>
    <row r="46" spans="1:36" ht="1.5" customHeight="1">
      <c r="A46" s="258"/>
      <c r="F46"/>
      <c r="P46" s="7"/>
      <c r="Q46" s="7"/>
      <c r="R46" s="7"/>
      <c r="AD46" s="18"/>
      <c r="AE46" s="32" t="s">
        <v>147</v>
      </c>
      <c r="AF46" s="33">
        <f t="shared" si="5"/>
        <v>95</v>
      </c>
      <c r="AG46" s="34">
        <v>9.276739921514919</v>
      </c>
      <c r="AH46" s="12" t="e">
        <f t="shared" si="6"/>
        <v>#VALUE!</v>
      </c>
      <c r="AI46" s="28" t="e">
        <f t="shared" si="7"/>
        <v>#VALUE!</v>
      </c>
      <c r="AJ46" s="3">
        <f t="shared" si="8"/>
        <v>1</v>
      </c>
    </row>
    <row r="47" spans="1:36" ht="15" customHeight="1">
      <c r="A47" s="258"/>
      <c r="D47" s="23" t="s">
        <v>102</v>
      </c>
      <c r="E47" s="18">
        <f>IF(B9="","",B9)</f>
        <v>89</v>
      </c>
      <c r="F47" s="25" t="str">
        <f>IF(E47="","",LOOKUP(E47,conversion)&amp;" PR")</f>
        <v>23 PR</v>
      </c>
      <c r="G47" s="234" t="str">
        <f>IF(E47="","",-4+E47&amp;" to "&amp;E47+4)</f>
        <v>85 to 93</v>
      </c>
      <c r="H47" s="234"/>
      <c r="I47" s="26" t="str">
        <f>IF(E47="","",LOOKUP((-4+E47),$B$485:$H$486)&amp;" to "&amp;LOOKUP((4+E47),$B$485:$H$486))</f>
        <v>Low Average to Average</v>
      </c>
      <c r="J47" s="29"/>
      <c r="P47" s="7"/>
      <c r="Q47" s="7"/>
      <c r="R47" s="7"/>
      <c r="AD47" s="18"/>
      <c r="AJ47" s="3">
        <f>SUM(AJ40:AJ46)</f>
        <v>4</v>
      </c>
    </row>
    <row r="48" spans="1:33" ht="15" customHeight="1">
      <c r="A48" s="258"/>
      <c r="D48" s="23" t="s">
        <v>103</v>
      </c>
      <c r="E48" s="18">
        <f>IF(C9="","",C9)</f>
        <v>85</v>
      </c>
      <c r="F48" s="25" t="str">
        <f>IF(E48="","",LOOKUP(E48,conversion)&amp;" PR")</f>
        <v>16 PR</v>
      </c>
      <c r="G48" s="234" t="str">
        <f>IF(E48="","",-4+E48&amp;" to "&amp;E48+4)</f>
        <v>81 to 89</v>
      </c>
      <c r="H48" s="234"/>
      <c r="I48" s="26" t="str">
        <f>IF(E48="","",LOOKUP((-4+E48),$B$485:$H$486)&amp;" to "&amp;LOOKUP((4+E48),$B$485:$H$486))</f>
        <v>Low Average to Low Average</v>
      </c>
      <c r="J48" s="29"/>
      <c r="P48" s="7"/>
      <c r="Q48" s="7"/>
      <c r="R48" s="7"/>
      <c r="AD48" s="18"/>
      <c r="AG48" s="3" t="e">
        <f>#REF!</f>
        <v>#REF!</v>
      </c>
    </row>
    <row r="49" spans="1:30" ht="15" customHeight="1">
      <c r="A49" s="258"/>
      <c r="D49" s="23" t="s">
        <v>364</v>
      </c>
      <c r="E49" s="18">
        <f>IF(J9="","",J9)</f>
        <v>93</v>
      </c>
      <c r="F49" s="25" t="str">
        <f>IF(E49="","",LOOKUP(E49,conversion)&amp;" PR")</f>
        <v>32 PR</v>
      </c>
      <c r="G49" s="234" t="str">
        <f>IF(E49="","",-8+E49&amp;" to "&amp;E49+8)</f>
        <v>85 to 101</v>
      </c>
      <c r="H49" s="234"/>
      <c r="I49" s="26" t="str">
        <f>IF(E49="","",LOOKUP((-8+E49),$B$485:$H$486)&amp;" to "&amp;LOOKUP((8+E49),$B$485:$H$486))</f>
        <v>Low Average to Average</v>
      </c>
      <c r="J49" s="29"/>
      <c r="P49" s="7"/>
      <c r="Q49" s="7"/>
      <c r="R49" s="7"/>
      <c r="AD49" s="18"/>
    </row>
    <row r="50" spans="1:36" ht="5.25" customHeight="1">
      <c r="A50" s="258"/>
      <c r="D50" s="23"/>
      <c r="E50" s="18"/>
      <c r="P50" s="7"/>
      <c r="Q50" s="7"/>
      <c r="R50" s="7"/>
      <c r="AD50" s="18"/>
      <c r="AE50" s="32" t="s">
        <v>141</v>
      </c>
      <c r="AF50" s="33">
        <f>AF40</f>
        <v>102</v>
      </c>
      <c r="AG50" s="34">
        <v>8.57</v>
      </c>
      <c r="AH50" s="12" t="e">
        <f>-($AG$48-AF50)</f>
        <v>#REF!</v>
      </c>
      <c r="AI50" s="28" t="e">
        <f>IF(AF50="","",IF(AH50&gt;=AG50,"High",IF(AH50&lt;=-AG50,"Low","")))</f>
        <v>#REF!</v>
      </c>
      <c r="AJ50" s="3">
        <f>IF(C20="",0,1)</f>
        <v>1</v>
      </c>
    </row>
    <row r="51" spans="1:36" ht="5.25" customHeight="1">
      <c r="A51" s="258"/>
      <c r="B51" s="44"/>
      <c r="C51" s="44"/>
      <c r="D51" s="44"/>
      <c r="E51" s="44"/>
      <c r="F51" s="44"/>
      <c r="G51" s="44"/>
      <c r="H51" s="44"/>
      <c r="I51" s="44"/>
      <c r="J51" s="44"/>
      <c r="K51" s="44"/>
      <c r="P51" s="2" t="s">
        <v>218</v>
      </c>
      <c r="Q51" s="7">
        <f>IF(OR(E47="",E48=""),1,ABS(E47-E48))</f>
        <v>4</v>
      </c>
      <c r="R51" s="7">
        <f>IF(OR(E47="",E48=""),1,(E47-E48))</f>
        <v>4</v>
      </c>
      <c r="T51" s="1"/>
      <c r="U51" s="3">
        <f>IF(Q51&gt;20,"The comparison of "&amp;P51&amp;" was found to be significant and unusual (&lt;10%)","")</f>
      </c>
      <c r="X51" s="1"/>
      <c r="AD51" s="18"/>
      <c r="AE51" s="27" t="s">
        <v>143</v>
      </c>
      <c r="AF51" s="33">
        <f>AF42</f>
      </c>
      <c r="AG51" s="34">
        <v>11.98</v>
      </c>
      <c r="AH51" s="12" t="e">
        <f>-($AG$48-AF51)</f>
        <v>#REF!</v>
      </c>
      <c r="AI51" s="28">
        <f>IF(AF51="","",IF(AH51&gt;=AG51,"High",IF(AH51&lt;=-AG51,"Low","")))</f>
      </c>
      <c r="AJ51" s="3">
        <f>IF(C22="",0,1)</f>
        <v>0</v>
      </c>
    </row>
    <row r="52" spans="1:36" ht="5.25" customHeight="1">
      <c r="A52" s="258"/>
      <c r="B52" s="35"/>
      <c r="P52" s="2" t="s">
        <v>219</v>
      </c>
      <c r="Q52" s="7">
        <f>IF(OR(E47="",E50=""),1,ABS(E47-E50))</f>
        <v>1</v>
      </c>
      <c r="R52" s="7">
        <f>IF(OR(E47="",E50=""),1,ABS(E47-E50))</f>
        <v>1</v>
      </c>
      <c r="T52" s="1"/>
      <c r="U52" s="3">
        <f>IF(Q52&gt;23,"The comparison of "&amp;P52&amp;" was found to be significant and unusual (&lt;10%)","")</f>
      </c>
      <c r="X52" s="1"/>
      <c r="AD52" s="18"/>
      <c r="AE52" s="27" t="s">
        <v>144</v>
      </c>
      <c r="AF52" s="33">
        <f>AF43</f>
        <v>90</v>
      </c>
      <c r="AG52" s="34">
        <v>10.88</v>
      </c>
      <c r="AH52" s="12" t="e">
        <f>-($AG$48-AF52)</f>
        <v>#REF!</v>
      </c>
      <c r="AI52" s="28" t="e">
        <f>IF(AF52="","",IF(AH52&gt;=AG52,"High",IF(AH52&lt;=-AG52,"Low","")))</f>
        <v>#REF!</v>
      </c>
      <c r="AJ52" s="3">
        <f>IF(C23="",0,1)</f>
        <v>1</v>
      </c>
    </row>
    <row r="53" spans="1:36" ht="13.5" customHeight="1">
      <c r="A53" s="258"/>
      <c r="D53" s="36" t="s">
        <v>92</v>
      </c>
      <c r="E53" s="33">
        <f>IF(C29="","",C29)</f>
        <v>89</v>
      </c>
      <c r="F53" s="25" t="str">
        <f>IF(E53="","",E29)</f>
        <v>23 PR</v>
      </c>
      <c r="G53" s="234" t="str">
        <f>IF(F53="","",F29)</f>
        <v>83 to 95</v>
      </c>
      <c r="H53" s="234"/>
      <c r="I53" s="26" t="str">
        <f>IF(F53="","",H29)</f>
        <v>Low Average to Average</v>
      </c>
      <c r="P53" s="2"/>
      <c r="Q53" s="7"/>
      <c r="R53" s="7"/>
      <c r="T53" s="1"/>
      <c r="X53" s="1"/>
      <c r="AD53" s="18"/>
      <c r="AE53" s="27" t="s">
        <v>146</v>
      </c>
      <c r="AF53" s="33">
        <f>AF45</f>
        <v>86</v>
      </c>
      <c r="AG53" s="34">
        <v>9.01</v>
      </c>
      <c r="AH53" s="12" t="e">
        <f>-($AG$48-AF53)</f>
        <v>#REF!</v>
      </c>
      <c r="AI53" s="28" t="e">
        <f>IF(AF53="","",IF(AH53&gt;=AG53,"High",IF(AH53&lt;=-AG53,"Low","")))</f>
        <v>#REF!</v>
      </c>
      <c r="AJ53" s="3">
        <f>IF(C25="",0,1)</f>
        <v>1</v>
      </c>
    </row>
    <row r="54" spans="1:36" ht="3" customHeight="1">
      <c r="A54" s="258"/>
      <c r="E54" s="37"/>
      <c r="F54"/>
      <c r="Q54" s="7"/>
      <c r="R54" s="7"/>
      <c r="T54" s="1"/>
      <c r="X54" s="1"/>
      <c r="AD54" s="18"/>
      <c r="AE54" s="32" t="s">
        <v>147</v>
      </c>
      <c r="AF54" s="33">
        <f>AF46</f>
        <v>95</v>
      </c>
      <c r="AG54" s="34">
        <v>8.47</v>
      </c>
      <c r="AH54" s="12" t="e">
        <f>-($AG$48-AF54)</f>
        <v>#REF!</v>
      </c>
      <c r="AI54" s="28" t="e">
        <f>IF(AF54="","",IF(AH54&gt;=AG54,"High",IF(AH54&lt;=-AG54,"Low","")))</f>
        <v>#REF!</v>
      </c>
      <c r="AJ54" s="3">
        <f>IF(C26="",0,1)</f>
        <v>1</v>
      </c>
    </row>
    <row r="55" spans="1:36" ht="15" customHeight="1">
      <c r="A55" s="258"/>
      <c r="D55" s="23" t="s">
        <v>102</v>
      </c>
      <c r="E55" s="18">
        <f>IF(B9="","",B9)</f>
        <v>89</v>
      </c>
      <c r="F55" s="25" t="str">
        <f>IF(E55="","",LOOKUP(E55,conversion)&amp;" PR")</f>
        <v>23 PR</v>
      </c>
      <c r="G55" s="234" t="str">
        <f>IF(E55="","",-4+E55&amp;" to "&amp;E55+4)</f>
        <v>85 to 93</v>
      </c>
      <c r="H55" s="234"/>
      <c r="I55" s="26" t="str">
        <f>IF(E55="","",LOOKUP((-4+E55),$B$485:$H$486)&amp;" to "&amp;LOOKUP((4+E55),$B$485:$H$486))</f>
        <v>Low Average to Average</v>
      </c>
      <c r="J55" s="29"/>
      <c r="Q55" s="7"/>
      <c r="R55" s="7"/>
      <c r="T55" s="1"/>
      <c r="X55" s="1"/>
      <c r="AD55" s="18"/>
      <c r="AJ55" s="3">
        <f>SUM(AJ50:AJ54)</f>
        <v>4</v>
      </c>
    </row>
    <row r="56" spans="1:28" ht="15" customHeight="1">
      <c r="A56" s="258"/>
      <c r="D56" s="23" t="s">
        <v>104</v>
      </c>
      <c r="E56" s="18">
        <f>IF(C12="","",C12)</f>
        <v>93</v>
      </c>
      <c r="F56" s="25" t="str">
        <f>IF(E56="","",LOOKUP(E56,conversion)&amp;" PR")</f>
        <v>32 PR</v>
      </c>
      <c r="G56" s="234" t="str">
        <f>IF(E56="","",-10+E56&amp;" to "&amp;E56+10)</f>
        <v>83 to 103</v>
      </c>
      <c r="H56" s="234"/>
      <c r="I56" s="26" t="str">
        <f>IF(E56="","",LOOKUP((-10+E56),$B$485:$H$486)&amp;" to "&amp;LOOKUP((10+E56),$B$485:$H$486))</f>
        <v>Low Average to Average</v>
      </c>
      <c r="J56" s="29"/>
      <c r="Q56" s="7"/>
      <c r="R56" s="7"/>
      <c r="T56" s="1"/>
      <c r="X56" s="1"/>
      <c r="AB56" s="3"/>
    </row>
    <row r="57" spans="1:28" ht="0.75" customHeight="1" hidden="1">
      <c r="A57" s="258"/>
      <c r="Q57" s="7"/>
      <c r="R57" s="7"/>
      <c r="T57" s="1"/>
      <c r="X57" s="1"/>
      <c r="AB57" s="3"/>
    </row>
    <row r="58" spans="1:28" ht="5.25" customHeight="1">
      <c r="A58" s="258"/>
      <c r="P58" s="2"/>
      <c r="Q58" s="7"/>
      <c r="R58" s="7"/>
      <c r="T58" s="1"/>
      <c r="X58" s="1"/>
      <c r="AB58" s="3"/>
    </row>
    <row r="59" spans="1:28" ht="5.25" customHeight="1">
      <c r="A59" s="258"/>
      <c r="B59" s="44"/>
      <c r="C59" s="44"/>
      <c r="D59" s="44"/>
      <c r="E59" s="44"/>
      <c r="F59" s="44"/>
      <c r="G59" s="44"/>
      <c r="H59" s="44"/>
      <c r="I59" s="44"/>
      <c r="J59" s="44"/>
      <c r="K59" s="44"/>
      <c r="P59" s="2"/>
      <c r="Q59" s="7"/>
      <c r="R59" s="7"/>
      <c r="T59" s="1"/>
      <c r="X59" s="1"/>
      <c r="AB59" s="3"/>
    </row>
    <row r="60" spans="1:28" ht="5.25" customHeight="1">
      <c r="A60" s="258"/>
      <c r="P60" s="2" t="s">
        <v>220</v>
      </c>
      <c r="Q60" s="7" t="e">
        <f>IF(OR(E55="",#REF!=""),1,ABS(E55-#REF!))</f>
        <v>#REF!</v>
      </c>
      <c r="R60" s="7" t="e">
        <f>IF(OR(E55="",#REF!=""),1,ABS(E55-#REF!))</f>
        <v>#REF!</v>
      </c>
      <c r="T60" s="1"/>
      <c r="U60" s="3" t="e">
        <f>IF(Q60&gt;28,"The comparison of "&amp;P60&amp;" was found to be significant and unusual (&lt;10%)","")</f>
        <v>#REF!</v>
      </c>
      <c r="X60" s="1"/>
      <c r="AB60" s="3"/>
    </row>
    <row r="61" spans="1:28" ht="3.75" customHeight="1" hidden="1">
      <c r="A61" s="258"/>
      <c r="P61" s="2" t="s">
        <v>221</v>
      </c>
      <c r="Q61" s="7" t="e">
        <f>IF(OR(E56="",#REF!=""),1,ABS(E56-#REF!))</f>
        <v>#REF!</v>
      </c>
      <c r="R61" s="7" t="e">
        <f>IF(OR(E56="",#REF!=""),1,ABS(E56-#REF!))</f>
        <v>#REF!</v>
      </c>
      <c r="T61" s="1"/>
      <c r="U61" s="3" t="e">
        <f>IF(Q61&gt;28,"The comparison of "&amp;P61&amp;" was found to be significant and unusual (&lt;10%)","")</f>
        <v>#REF!</v>
      </c>
      <c r="X61" s="1"/>
      <c r="AB61" s="3"/>
    </row>
    <row r="62" spans="1:28" ht="11.25">
      <c r="A62" s="258"/>
      <c r="D62" s="36" t="s">
        <v>93</v>
      </c>
      <c r="E62" s="33">
        <f>IF(C30="","",C30)</f>
        <v>99</v>
      </c>
      <c r="F62" s="25" t="str">
        <f>IF(E62="","",E30)</f>
        <v>47 PR</v>
      </c>
      <c r="G62" s="234" t="str">
        <f>IF(F62="","",F30)</f>
        <v>92 to 106</v>
      </c>
      <c r="H62" s="234"/>
      <c r="I62" s="26" t="str">
        <f>IF(F62="","",H30)</f>
        <v>Average to Average</v>
      </c>
      <c r="Q62" s="7"/>
      <c r="R62" s="7"/>
      <c r="T62" s="1"/>
      <c r="X62" s="1"/>
      <c r="AB62" s="3"/>
    </row>
    <row r="63" spans="1:28" ht="2.25" customHeight="1">
      <c r="A63" s="258"/>
      <c r="F63"/>
      <c r="Q63" s="7"/>
      <c r="R63" s="7"/>
      <c r="T63" s="1"/>
      <c r="X63" s="1"/>
      <c r="AB63" s="3"/>
    </row>
    <row r="64" spans="1:28" ht="15" customHeight="1">
      <c r="A64" s="258"/>
      <c r="D64" s="23" t="s">
        <v>364</v>
      </c>
      <c r="E64" s="18">
        <f>IF(J9="","",J9)</f>
        <v>93</v>
      </c>
      <c r="F64" s="25" t="str">
        <f>IF(E64="","",LOOKUP(E64,conversion)&amp;" PR")</f>
        <v>32 PR</v>
      </c>
      <c r="G64" s="234" t="str">
        <f>IF(E64="","",-8+E64&amp;" to "&amp;E64+8)</f>
        <v>85 to 101</v>
      </c>
      <c r="H64" s="234"/>
      <c r="I64" s="26" t="str">
        <f>IF(E64="","",LOOKUP((-8+E64),$B$485:$H$486)&amp;" to "&amp;LOOKUP((8+E64),$B$485:$H$486))</f>
        <v>Low Average to Average</v>
      </c>
      <c r="J64" s="29"/>
      <c r="Q64" s="7"/>
      <c r="R64" s="7"/>
      <c r="T64" s="1"/>
      <c r="X64" s="1"/>
      <c r="AB64" s="3"/>
    </row>
    <row r="65" spans="1:28" ht="15" customHeight="1">
      <c r="A65" s="258"/>
      <c r="D65" s="14" t="s">
        <v>105</v>
      </c>
      <c r="E65" s="18">
        <f>IF(G12="","",G12)</f>
        <v>109</v>
      </c>
      <c r="F65" s="25" t="str">
        <f>IF(E65="","",LOOKUP(E65,conversion)&amp;" PR")</f>
        <v>73 PR</v>
      </c>
      <c r="G65" s="234" t="str">
        <f>IF(E65="","",-6+E65&amp;" to "&amp;E65+6)</f>
        <v>103 to 115</v>
      </c>
      <c r="H65" s="234"/>
      <c r="I65" s="26" t="str">
        <f>IF(E65="","",LOOKUP((-6+E65),$B$485:$H$486)&amp;" to "&amp;LOOKUP((6+E65),$B$485:$H$486))</f>
        <v>Average to High Average</v>
      </c>
      <c r="J65" s="29"/>
      <c r="Q65" s="7"/>
      <c r="R65" s="7"/>
      <c r="T65" s="1"/>
      <c r="X65" s="1"/>
      <c r="AB65" s="3"/>
    </row>
    <row r="66" spans="1:44" s="7" customFormat="1" ht="5.25" customHeight="1">
      <c r="A66" s="59"/>
      <c r="B66" s="3"/>
      <c r="C66" s="3"/>
      <c r="D66" s="23"/>
      <c r="E66" s="18"/>
      <c r="F66" s="25"/>
      <c r="G66" s="25"/>
      <c r="H66" s="25"/>
      <c r="I66" s="26"/>
      <c r="J66" s="29"/>
      <c r="K66" s="3"/>
      <c r="L66" s="3"/>
      <c r="M66" s="3"/>
      <c r="N66" s="3"/>
      <c r="O66" s="3"/>
      <c r="T66" s="1"/>
      <c r="X66" s="1"/>
      <c r="AA66" s="3"/>
      <c r="AB66" s="3"/>
      <c r="AC66" s="3"/>
      <c r="AD66" s="3"/>
      <c r="AE66" s="3"/>
      <c r="AF66" s="3"/>
      <c r="AG66" s="3"/>
      <c r="AH66" s="3"/>
      <c r="AI66" s="3"/>
      <c r="AJ66" s="3"/>
      <c r="AK66" s="3"/>
      <c r="AL66" s="3"/>
      <c r="AM66" s="3"/>
      <c r="AN66" s="3"/>
      <c r="AO66" s="3"/>
      <c r="AP66" s="3"/>
      <c r="AQ66" s="3"/>
      <c r="AR66" s="3"/>
    </row>
    <row r="67" spans="1:44" s="7" customFormat="1" ht="5.25" customHeight="1">
      <c r="A67" s="59"/>
      <c r="B67" s="44"/>
      <c r="C67" s="44"/>
      <c r="D67" s="45"/>
      <c r="E67" s="46"/>
      <c r="F67" s="47"/>
      <c r="G67" s="47"/>
      <c r="H67" s="47"/>
      <c r="I67" s="48"/>
      <c r="J67" s="49"/>
      <c r="K67" s="44"/>
      <c r="L67" s="3"/>
      <c r="M67" s="3"/>
      <c r="N67" s="3"/>
      <c r="O67" s="3"/>
      <c r="T67" s="1"/>
      <c r="X67" s="1"/>
      <c r="AA67" s="3"/>
      <c r="AB67" s="3"/>
      <c r="AC67" s="3"/>
      <c r="AD67" s="3"/>
      <c r="AE67" s="3"/>
      <c r="AF67" s="3"/>
      <c r="AG67" s="3"/>
      <c r="AH67" s="3"/>
      <c r="AI67" s="3"/>
      <c r="AJ67" s="3"/>
      <c r="AK67" s="3"/>
      <c r="AL67" s="3"/>
      <c r="AM67" s="3"/>
      <c r="AN67" s="3"/>
      <c r="AO67" s="3"/>
      <c r="AP67" s="3"/>
      <c r="AQ67" s="3"/>
      <c r="AR67" s="3"/>
    </row>
    <row r="68" spans="1:44" s="7" customFormat="1" ht="5.25" customHeight="1">
      <c r="A68" s="59"/>
      <c r="B68" s="3"/>
      <c r="C68" s="3"/>
      <c r="D68" s="3"/>
      <c r="E68" s="3"/>
      <c r="F68"/>
      <c r="G68" s="3"/>
      <c r="H68" s="3"/>
      <c r="I68" s="3"/>
      <c r="J68" s="3"/>
      <c r="K68" s="3"/>
      <c r="L68" s="3"/>
      <c r="M68" s="3"/>
      <c r="N68" s="3"/>
      <c r="O68" s="3"/>
      <c r="T68" s="1"/>
      <c r="X68" s="1"/>
      <c r="AA68" s="3"/>
      <c r="AB68" s="3"/>
      <c r="AC68" s="3"/>
      <c r="AD68" s="3"/>
      <c r="AE68" s="3"/>
      <c r="AF68" s="3"/>
      <c r="AG68" s="3"/>
      <c r="AH68" s="3"/>
      <c r="AI68" s="3"/>
      <c r="AJ68" s="3"/>
      <c r="AK68" s="3"/>
      <c r="AL68" s="3"/>
      <c r="AM68" s="3"/>
      <c r="AN68" s="3"/>
      <c r="AO68" s="3"/>
      <c r="AP68" s="3"/>
      <c r="AQ68" s="3"/>
      <c r="AR68" s="3"/>
    </row>
    <row r="69" spans="1:44" s="7" customFormat="1" ht="12.75" customHeight="1" hidden="1">
      <c r="A69" s="59"/>
      <c r="B69" s="3"/>
      <c r="C69" s="3"/>
      <c r="D69" s="3"/>
      <c r="E69" s="3"/>
      <c r="F69"/>
      <c r="G69" s="3"/>
      <c r="H69" s="3"/>
      <c r="I69" s="3"/>
      <c r="J69" s="3"/>
      <c r="K69" s="3"/>
      <c r="L69" s="3"/>
      <c r="M69" s="3"/>
      <c r="N69" s="3"/>
      <c r="O69" s="3"/>
      <c r="T69" s="1"/>
      <c r="X69" s="1"/>
      <c r="AA69" s="3"/>
      <c r="AB69" s="3"/>
      <c r="AC69" s="3"/>
      <c r="AD69" s="3"/>
      <c r="AE69" s="3"/>
      <c r="AF69" s="3"/>
      <c r="AG69" s="3"/>
      <c r="AH69" s="3"/>
      <c r="AI69" s="3"/>
      <c r="AJ69" s="3"/>
      <c r="AK69" s="3"/>
      <c r="AL69" s="3"/>
      <c r="AM69" s="3"/>
      <c r="AN69" s="3"/>
      <c r="AO69" s="3"/>
      <c r="AP69" s="3"/>
      <c r="AQ69" s="3"/>
      <c r="AR69" s="3"/>
    </row>
    <row r="70" spans="1:44" s="7" customFormat="1" ht="11.25">
      <c r="A70" s="258" t="s">
        <v>110</v>
      </c>
      <c r="B70" s="3"/>
      <c r="C70" s="3"/>
      <c r="D70" s="36" t="s">
        <v>110</v>
      </c>
      <c r="E70" s="33">
        <f>IF(C19="","",C19)</f>
      </c>
      <c r="F70" s="25">
        <f>IF(E70="","",E20)</f>
      </c>
      <c r="G70" s="234">
        <f>IF(F70="","",F20)</f>
      </c>
      <c r="H70" s="234"/>
      <c r="I70" s="26">
        <f>IF(F70="","",H20)</f>
      </c>
      <c r="J70" s="3"/>
      <c r="K70" s="3"/>
      <c r="L70" s="3"/>
      <c r="M70" s="3"/>
      <c r="N70" s="3"/>
      <c r="O70" s="3"/>
      <c r="T70" s="1"/>
      <c r="X70" s="1"/>
      <c r="AA70" s="3"/>
      <c r="AB70" s="3"/>
      <c r="AC70" s="3"/>
      <c r="AD70" s="3"/>
      <c r="AE70" s="3"/>
      <c r="AF70" s="3"/>
      <c r="AG70" s="3"/>
      <c r="AH70" s="3"/>
      <c r="AI70" s="3"/>
      <c r="AJ70" s="3"/>
      <c r="AK70" s="3"/>
      <c r="AL70" s="3"/>
      <c r="AM70" s="3"/>
      <c r="AN70" s="3"/>
      <c r="AO70" s="3"/>
      <c r="AP70" s="3"/>
      <c r="AQ70" s="3"/>
      <c r="AR70" s="3"/>
    </row>
    <row r="71" spans="1:44" s="7" customFormat="1" ht="2.25" customHeight="1">
      <c r="A71" s="258"/>
      <c r="B71" s="3"/>
      <c r="C71" s="3"/>
      <c r="D71" s="3"/>
      <c r="E71" s="3"/>
      <c r="F71"/>
      <c r="G71" s="3"/>
      <c r="H71" s="3"/>
      <c r="I71" s="3"/>
      <c r="J71" s="3"/>
      <c r="K71" s="3"/>
      <c r="L71" s="3"/>
      <c r="M71" s="3"/>
      <c r="N71" s="3"/>
      <c r="O71" s="3"/>
      <c r="P71" s="2" t="s">
        <v>222</v>
      </c>
      <c r="Q71" s="7">
        <f>IF(OR(E64="",E65=""),1,ABS(E64-E65))</f>
        <v>16</v>
      </c>
      <c r="R71" s="7">
        <f>IF(OR(E64="",E65=""),"",(E64-E65))</f>
        <v>-16</v>
      </c>
      <c r="T71" s="1"/>
      <c r="U71" s="3">
        <f>IF(Q71&gt;30,"The comparison of "&amp;P71&amp;" was found to be significant and unusual (&lt;10%)","")</f>
      </c>
      <c r="X71" s="1"/>
      <c r="AA71" s="3"/>
      <c r="AB71" s="3"/>
      <c r="AC71" s="3"/>
      <c r="AD71" s="3"/>
      <c r="AE71" s="3"/>
      <c r="AF71" s="3"/>
      <c r="AG71" s="3"/>
      <c r="AH71" s="3"/>
      <c r="AI71" s="3"/>
      <c r="AJ71" s="3"/>
      <c r="AK71" s="3"/>
      <c r="AL71" s="3"/>
      <c r="AM71" s="3"/>
      <c r="AN71" s="3"/>
      <c r="AO71" s="3"/>
      <c r="AP71" s="3"/>
      <c r="AQ71" s="3"/>
      <c r="AR71" s="3"/>
    </row>
    <row r="72" spans="1:44" s="7" customFormat="1" ht="15" customHeight="1">
      <c r="A72" s="258"/>
      <c r="C72" s="3"/>
      <c r="D72" s="23" t="s">
        <v>106</v>
      </c>
      <c r="E72" s="18">
        <f>IF(D9="","",D9)</f>
        <v>109</v>
      </c>
      <c r="F72" s="25" t="str">
        <f>IF(E72="","",LOOKUP(E72,conversion)&amp;" PR")</f>
        <v>73 PR</v>
      </c>
      <c r="G72" s="234" t="str">
        <f>IF(E72="","",-22+E72&amp;" to "&amp;E72+22)</f>
        <v>87 to 131</v>
      </c>
      <c r="H72" s="234"/>
      <c r="I72" s="26" t="str">
        <f>IF(E72="","",LOOKUP((-22+E72),$B$485:$H$486)&amp;" to "&amp;LOOKUP((22+E72),$B$485:$H$486))</f>
        <v>Low Average to Very Superior</v>
      </c>
      <c r="J72" s="29"/>
      <c r="K72" s="3"/>
      <c r="L72" s="3"/>
      <c r="M72" s="3"/>
      <c r="N72" s="3"/>
      <c r="O72" s="3"/>
      <c r="P72" s="2"/>
      <c r="T72" s="1"/>
      <c r="U72" s="3">
        <f>IF(Q72&gt;20,"the comparison of "&amp;P72&amp;" was found to be significant and unusual (&lt;10%)","")</f>
      </c>
      <c r="X72" s="1"/>
      <c r="AA72" s="3"/>
      <c r="AB72" s="3"/>
      <c r="AC72" s="3"/>
      <c r="AD72" s="3"/>
      <c r="AE72" s="3"/>
      <c r="AF72" s="3"/>
      <c r="AG72" s="3"/>
      <c r="AH72" s="3"/>
      <c r="AI72" s="3"/>
      <c r="AJ72" s="3"/>
      <c r="AK72" s="3"/>
      <c r="AL72" s="3"/>
      <c r="AM72" s="3"/>
      <c r="AN72" s="3"/>
      <c r="AO72" s="3"/>
      <c r="AP72" s="3"/>
      <c r="AQ72" s="3"/>
      <c r="AR72" s="3"/>
    </row>
    <row r="73" spans="1:44" s="7" customFormat="1" ht="15" customHeight="1">
      <c r="A73" s="258"/>
      <c r="C73" s="3"/>
      <c r="D73" s="23" t="s">
        <v>107</v>
      </c>
      <c r="E73" s="18">
        <f>IF(E9="","",E9)</f>
      </c>
      <c r="F73" s="25">
        <f>IF(E73="","",LOOKUP(E73,conversion)&amp;" PR")</f>
      </c>
      <c r="G73" s="234">
        <f>IF(E73="","",-8+E73&amp;" to "&amp;E73+8)</f>
      </c>
      <c r="H73" s="234"/>
      <c r="I73" s="26">
        <f>IF(E73="","",LOOKUP((-8+E73),$B$485:$H$486)&amp;" to "&amp;LOOKUP((8+E73),$B$485:$H$486))</f>
      </c>
      <c r="J73" s="29"/>
      <c r="K73" s="3"/>
      <c r="L73" s="3"/>
      <c r="M73" s="3"/>
      <c r="N73" s="3"/>
      <c r="R73" s="7" t="e">
        <f>IF(OR(E65="",#REF!=""),"",ABS(E65-#REF!))</f>
        <v>#REF!</v>
      </c>
      <c r="T73" s="1"/>
      <c r="U73" s="3">
        <f>IF(Q73&gt;20,"the comparison of "&amp;P73&amp;" was found to be significant and unusual (&lt;10%)","")</f>
      </c>
      <c r="X73" s="1"/>
      <c r="AA73" s="3"/>
      <c r="AB73" s="3"/>
      <c r="AC73" s="3"/>
      <c r="AD73" s="3"/>
      <c r="AE73" s="3"/>
      <c r="AF73" s="3"/>
      <c r="AG73" s="3"/>
      <c r="AH73" s="3"/>
      <c r="AI73" s="3"/>
      <c r="AJ73" s="3"/>
      <c r="AK73" s="3"/>
      <c r="AL73" s="3"/>
      <c r="AM73" s="3"/>
      <c r="AN73" s="3"/>
      <c r="AO73" s="3"/>
      <c r="AP73" s="3"/>
      <c r="AQ73" s="3"/>
      <c r="AR73" s="3"/>
    </row>
    <row r="74" spans="1:44" s="7" customFormat="1" ht="15" customHeight="1">
      <c r="A74" s="258"/>
      <c r="B74" s="3"/>
      <c r="C74" s="3"/>
      <c r="D74" s="23" t="s">
        <v>108</v>
      </c>
      <c r="E74" s="18">
        <f>IF(D12="","",D12)</f>
        <v>99</v>
      </c>
      <c r="F74" s="25" t="str">
        <f>IF(E74="","",LOOKUP(E74,conversion)&amp;" PR")</f>
        <v>47 PR</v>
      </c>
      <c r="G74" s="234" t="str">
        <f>IF(E74="","",-10+E74&amp;" to "&amp;E74+10)</f>
        <v>89 to 109</v>
      </c>
      <c r="H74" s="234"/>
      <c r="I74" s="26" t="str">
        <f>IF(E74="","",LOOKUP((-10+E74),$B$485:$H$486)&amp;" to "&amp;LOOKUP((10+E74),$B$485:$H$486))</f>
        <v>Low Average to Average</v>
      </c>
      <c r="J74" s="29"/>
      <c r="K74" s="3"/>
      <c r="L74" s="3"/>
      <c r="M74" s="3"/>
      <c r="N74" s="3"/>
      <c r="P74" s="2"/>
      <c r="Q74" s="12"/>
      <c r="T74" s="1"/>
      <c r="X74" s="1"/>
      <c r="AA74" s="3"/>
      <c r="AB74" s="3"/>
      <c r="AC74" s="3"/>
      <c r="AD74" s="3"/>
      <c r="AE74" s="3"/>
      <c r="AF74" s="3"/>
      <c r="AG74" s="3"/>
      <c r="AH74" s="3"/>
      <c r="AI74" s="3"/>
      <c r="AJ74" s="3"/>
      <c r="AK74" s="3"/>
      <c r="AL74" s="3"/>
      <c r="AM74" s="3"/>
      <c r="AN74" s="3"/>
      <c r="AO74" s="3"/>
      <c r="AP74" s="3"/>
      <c r="AQ74" s="3"/>
      <c r="AR74" s="3"/>
    </row>
    <row r="75" spans="1:44" s="7" customFormat="1" ht="15" customHeight="1">
      <c r="A75" s="258"/>
      <c r="B75" s="3"/>
      <c r="C75" s="3"/>
      <c r="D75" s="23" t="s">
        <v>109</v>
      </c>
      <c r="E75" s="18">
        <f>IF(E12="","",E12)</f>
        <v>113</v>
      </c>
      <c r="F75" s="25" t="str">
        <f>IF(E75="","",LOOKUP(E75,conversion)&amp;" PR")</f>
        <v>81 PR</v>
      </c>
      <c r="G75" s="234" t="str">
        <f>IF(E75="","",-10+E75&amp;" to "&amp;E75+10)</f>
        <v>103 to 123</v>
      </c>
      <c r="H75" s="234"/>
      <c r="I75" s="26" t="str">
        <f>IF(E75="","",LOOKUP((-10+E75),$B$485:$H$486)&amp;" to "&amp;LOOKUP((10+E75),$B$485:$H$486))</f>
        <v>Average to Superior</v>
      </c>
      <c r="J75" s="29"/>
      <c r="K75" s="3"/>
      <c r="L75" s="3"/>
      <c r="M75" s="3"/>
      <c r="N75" s="3"/>
      <c r="P75" s="2"/>
      <c r="Q75" s="12"/>
      <c r="T75" s="1"/>
      <c r="X75" s="1"/>
      <c r="AA75" s="3"/>
      <c r="AB75" s="3"/>
      <c r="AC75" s="3"/>
      <c r="AD75" s="3"/>
      <c r="AE75" s="3"/>
      <c r="AF75" s="3"/>
      <c r="AG75" s="3"/>
      <c r="AH75" s="3"/>
      <c r="AI75" s="3"/>
      <c r="AJ75" s="3"/>
      <c r="AK75" s="3"/>
      <c r="AL75" s="3"/>
      <c r="AM75" s="3"/>
      <c r="AN75" s="3"/>
      <c r="AO75" s="3"/>
      <c r="AP75" s="3"/>
      <c r="AQ75" s="3"/>
      <c r="AR75" s="3"/>
    </row>
    <row r="76" spans="1:44" s="7" customFormat="1" ht="5.25" customHeight="1">
      <c r="A76" s="258"/>
      <c r="B76" s="3"/>
      <c r="C76" s="3"/>
      <c r="D76" s="23"/>
      <c r="E76" s="18"/>
      <c r="F76" s="25"/>
      <c r="G76" s="25"/>
      <c r="H76" s="25"/>
      <c r="I76" s="26"/>
      <c r="J76" s="29"/>
      <c r="K76" s="3"/>
      <c r="L76" s="3"/>
      <c r="M76" s="3"/>
      <c r="N76" s="3"/>
      <c r="P76" s="2"/>
      <c r="Q76" s="12"/>
      <c r="T76" s="1"/>
      <c r="X76" s="1"/>
      <c r="AA76" s="3"/>
      <c r="AB76" s="3"/>
      <c r="AC76" s="3"/>
      <c r="AD76" s="3"/>
      <c r="AE76" s="3"/>
      <c r="AF76" s="3"/>
      <c r="AG76" s="3"/>
      <c r="AH76" s="3"/>
      <c r="AI76" s="3"/>
      <c r="AJ76" s="3"/>
      <c r="AK76" s="3"/>
      <c r="AL76" s="3"/>
      <c r="AM76" s="3"/>
      <c r="AN76" s="3"/>
      <c r="AO76" s="3"/>
      <c r="AP76" s="3"/>
      <c r="AQ76" s="3"/>
      <c r="AR76" s="3"/>
    </row>
    <row r="77" spans="1:44" s="7" customFormat="1" ht="5.25" customHeight="1">
      <c r="A77" s="258"/>
      <c r="B77" s="44"/>
      <c r="C77" s="44"/>
      <c r="D77" s="45"/>
      <c r="E77" s="46"/>
      <c r="F77" s="47"/>
      <c r="G77" s="47"/>
      <c r="H77" s="47"/>
      <c r="I77" s="48"/>
      <c r="J77" s="49"/>
      <c r="K77" s="44"/>
      <c r="L77" s="3"/>
      <c r="M77" s="3"/>
      <c r="N77" s="3"/>
      <c r="P77" s="2"/>
      <c r="Q77" s="12"/>
      <c r="T77" s="1"/>
      <c r="X77" s="1"/>
      <c r="AA77" s="3"/>
      <c r="AB77" s="3"/>
      <c r="AC77" s="3"/>
      <c r="AD77" s="3"/>
      <c r="AE77" s="3"/>
      <c r="AF77" s="3"/>
      <c r="AG77" s="3"/>
      <c r="AH77" s="3"/>
      <c r="AI77" s="3"/>
      <c r="AJ77" s="3"/>
      <c r="AK77" s="3"/>
      <c r="AL77" s="3"/>
      <c r="AM77" s="3"/>
      <c r="AN77" s="3"/>
      <c r="AO77" s="3"/>
      <c r="AP77" s="3"/>
      <c r="AQ77" s="3"/>
      <c r="AR77" s="3"/>
    </row>
    <row r="78" spans="1:44" s="7" customFormat="1" ht="5.25" customHeight="1">
      <c r="A78" s="258"/>
      <c r="B78" s="3"/>
      <c r="C78" s="3"/>
      <c r="D78" s="3"/>
      <c r="E78" s="3"/>
      <c r="F78"/>
      <c r="G78" s="3"/>
      <c r="H78" s="3"/>
      <c r="I78" s="3"/>
      <c r="J78" s="3"/>
      <c r="K78" s="3"/>
      <c r="L78" s="3"/>
      <c r="M78" s="3"/>
      <c r="N78" s="3" t="s">
        <v>154</v>
      </c>
      <c r="P78" s="2"/>
      <c r="Q78" s="12"/>
      <c r="T78" s="1"/>
      <c r="X78" s="1"/>
      <c r="AA78" s="3"/>
      <c r="AB78" s="3"/>
      <c r="AC78" s="3"/>
      <c r="AD78" s="3"/>
      <c r="AE78" s="3"/>
      <c r="AF78" s="3"/>
      <c r="AG78" s="3"/>
      <c r="AH78" s="3"/>
      <c r="AI78" s="3"/>
      <c r="AJ78" s="3"/>
      <c r="AK78" s="3"/>
      <c r="AL78" s="3"/>
      <c r="AM78" s="3"/>
      <c r="AN78" s="3"/>
      <c r="AO78" s="3"/>
      <c r="AP78" s="3"/>
      <c r="AQ78" s="3"/>
      <c r="AR78" s="3"/>
    </row>
    <row r="79" spans="1:44" s="7" customFormat="1" ht="11.25">
      <c r="A79" s="258"/>
      <c r="B79" s="3"/>
      <c r="C79" s="3"/>
      <c r="D79" s="38" t="s">
        <v>86</v>
      </c>
      <c r="E79" s="33">
        <f>IF(C21="","",C21)</f>
      </c>
      <c r="F79" s="25">
        <f>IF(E79="","",E21)</f>
      </c>
      <c r="G79" s="234">
        <f>IF(F79="","",F21)</f>
      </c>
      <c r="H79" s="234"/>
      <c r="I79" s="26">
        <f>IF(F79="","",H21)</f>
      </c>
      <c r="J79" s="3"/>
      <c r="K79" s="3"/>
      <c r="L79" s="3"/>
      <c r="M79" s="3"/>
      <c r="N79" s="3"/>
      <c r="P79" s="2" t="s">
        <v>223</v>
      </c>
      <c r="Q79" s="7">
        <f>IF(OR(E72="",E73=""),1,ABS(E72-E73))</f>
        <v>1</v>
      </c>
      <c r="R79" s="7">
        <f>IF(OR(E72="",E73=""),"",(E72-E73))</f>
      </c>
      <c r="T79" s="1"/>
      <c r="U79" s="3">
        <f>IF(Q79&gt;27,"The comparison of "&amp;P79&amp;" was found to be significant and unusual (&lt;10%)","")</f>
      </c>
      <c r="X79" s="1"/>
      <c r="AA79" s="3"/>
      <c r="AB79" s="3"/>
      <c r="AC79" s="3"/>
      <c r="AD79" s="3"/>
      <c r="AE79" s="3"/>
      <c r="AF79" s="3"/>
      <c r="AG79" s="3"/>
      <c r="AH79" s="3"/>
      <c r="AI79" s="3"/>
      <c r="AJ79" s="3"/>
      <c r="AK79" s="3"/>
      <c r="AL79" s="3"/>
      <c r="AM79" s="3"/>
      <c r="AN79" s="3"/>
      <c r="AO79" s="3"/>
      <c r="AP79" s="3"/>
      <c r="AQ79" s="3"/>
      <c r="AR79" s="3"/>
    </row>
    <row r="80" spans="1:44" s="7" customFormat="1" ht="0.75" customHeight="1">
      <c r="A80" s="258"/>
      <c r="B80" s="3"/>
      <c r="C80" s="3"/>
      <c r="D80" s="3"/>
      <c r="E80" s="39"/>
      <c r="F80"/>
      <c r="G80" s="3"/>
      <c r="H80" s="3"/>
      <c r="I80" s="3"/>
      <c r="J80" s="3"/>
      <c r="K80" s="3"/>
      <c r="L80" s="3"/>
      <c r="M80" s="3"/>
      <c r="N80" s="3"/>
      <c r="P80" s="2" t="s">
        <v>224</v>
      </c>
      <c r="Q80" s="7">
        <f>IF(OR(E72="",E74=""),1,ABS(E72-E74))</f>
        <v>10</v>
      </c>
      <c r="R80" s="7">
        <f>IF(OR(E72="",E74=""),"",ABS(E72-E74))</f>
        <v>10</v>
      </c>
      <c r="T80" s="1"/>
      <c r="U80" s="3">
        <f>IF(Q80&gt;30,"The comparison of "&amp;P80&amp;" was found to be significant and unusual (&lt;10%)","")</f>
      </c>
      <c r="X80" s="1"/>
      <c r="AA80" s="3"/>
      <c r="AB80" s="3"/>
      <c r="AC80" s="3"/>
      <c r="AD80" s="3"/>
      <c r="AE80" s="3"/>
      <c r="AF80" s="3"/>
      <c r="AG80" s="3"/>
      <c r="AH80" s="3"/>
      <c r="AI80" s="3"/>
      <c r="AJ80" s="3"/>
      <c r="AK80" s="3"/>
      <c r="AL80" s="3"/>
      <c r="AM80" s="3"/>
      <c r="AN80" s="3"/>
      <c r="AO80" s="3"/>
      <c r="AP80" s="3"/>
      <c r="AQ80" s="3"/>
      <c r="AR80" s="3"/>
    </row>
    <row r="81" spans="1:44" s="7" customFormat="1" ht="15" customHeight="1">
      <c r="A81" s="258"/>
      <c r="B81" s="3"/>
      <c r="C81" s="3"/>
      <c r="D81" s="23" t="s">
        <v>107</v>
      </c>
      <c r="E81" s="18">
        <f>IF(E9="","",E9)</f>
      </c>
      <c r="F81" s="25">
        <f>IF(E81="","",LOOKUP(E81,conversion)&amp;" PR")</f>
      </c>
      <c r="G81" s="234">
        <f>IF(E81="","",-8+E81&amp;" to "&amp;E81+8)</f>
      </c>
      <c r="H81" s="234"/>
      <c r="I81" s="26">
        <f>IF(E81="","",LOOKUP((-8+E81),$B$485:$H$486)&amp;" to "&amp;LOOKUP((8+E81),$B$485:$H$486))</f>
      </c>
      <c r="J81" s="3"/>
      <c r="K81" s="3"/>
      <c r="L81" s="3"/>
      <c r="M81" s="3"/>
      <c r="N81" s="3"/>
      <c r="P81" s="2" t="s">
        <v>225</v>
      </c>
      <c r="Q81" s="7">
        <f>IF(OR(E73="",E74=""),1,ABS(E73-E74))</f>
        <v>1</v>
      </c>
      <c r="R81" s="7">
        <f>IF(OR(E73="",E74=""),"",ABS(E73-E74))</f>
      </c>
      <c r="T81" s="1"/>
      <c r="U81" s="3">
        <f>IF(Q81&gt;29,"The comparison of "&amp;P81&amp;" was found to be significant and unusual (&lt;10%)","")</f>
      </c>
      <c r="X81" s="1"/>
      <c r="AA81" s="3"/>
      <c r="AB81" s="3"/>
      <c r="AC81" s="3"/>
      <c r="AD81" s="3"/>
      <c r="AE81" s="3"/>
      <c r="AF81" s="3"/>
      <c r="AG81" s="3"/>
      <c r="AH81" s="3"/>
      <c r="AI81" s="3"/>
      <c r="AJ81" s="3"/>
      <c r="AK81" s="3"/>
      <c r="AL81" s="3"/>
      <c r="AM81" s="3"/>
      <c r="AN81" s="3"/>
      <c r="AO81" s="3"/>
      <c r="AP81" s="3"/>
      <c r="AQ81" s="3"/>
      <c r="AR81" s="3"/>
    </row>
    <row r="82" spans="1:44" s="7" customFormat="1" ht="15" customHeight="1">
      <c r="A82" s="258"/>
      <c r="B82" s="3"/>
      <c r="C82" s="3"/>
      <c r="D82" s="23" t="s">
        <v>109</v>
      </c>
      <c r="E82" s="18">
        <f>IF(E12="","",E12)</f>
        <v>113</v>
      </c>
      <c r="F82" s="25" t="str">
        <f>IF(E82="","",LOOKUP(E82,conversion)&amp;" PR")</f>
        <v>81 PR</v>
      </c>
      <c r="G82" s="234" t="str">
        <f>IF(E82="","",-10+E82&amp;" to "&amp;E82+10)</f>
        <v>103 to 123</v>
      </c>
      <c r="H82" s="234"/>
      <c r="I82" s="26" t="str">
        <f>IF(E82="","",LOOKUP((-10+E82),$B$485:$H$486)&amp;" to "&amp;LOOKUP((10+E82),$B$485:$H$486))</f>
        <v>Average to Superior</v>
      </c>
      <c r="J82" s="3"/>
      <c r="K82" s="3"/>
      <c r="L82" s="3"/>
      <c r="M82" s="3"/>
      <c r="N82" s="3"/>
      <c r="Q82" s="12"/>
      <c r="T82" s="1"/>
      <c r="X82" s="1"/>
      <c r="AA82" s="3"/>
      <c r="AB82" s="3"/>
      <c r="AC82" s="3"/>
      <c r="AD82" s="3"/>
      <c r="AE82" s="3"/>
      <c r="AF82" s="3"/>
      <c r="AG82" s="3"/>
      <c r="AH82" s="3"/>
      <c r="AI82" s="3"/>
      <c r="AJ82" s="3"/>
      <c r="AK82" s="3"/>
      <c r="AL82" s="3"/>
      <c r="AM82" s="3"/>
      <c r="AN82" s="3"/>
      <c r="AO82" s="3"/>
      <c r="AP82" s="3"/>
      <c r="AQ82" s="3"/>
      <c r="AR82" s="3"/>
    </row>
    <row r="83" spans="1:44" s="7" customFormat="1" ht="5.25" customHeight="1">
      <c r="A83" s="258"/>
      <c r="B83" s="3"/>
      <c r="C83" s="3"/>
      <c r="E83" s="18">
        <f>IF(C15="","",C15)</f>
      </c>
      <c r="F83"/>
      <c r="G83" s="3"/>
      <c r="H83" s="3"/>
      <c r="I83" s="3"/>
      <c r="J83" s="3"/>
      <c r="K83" s="3"/>
      <c r="L83" s="3"/>
      <c r="M83" s="3"/>
      <c r="N83" s="3"/>
      <c r="O83" s="3"/>
      <c r="T83" s="1"/>
      <c r="X83" s="1"/>
      <c r="AA83" s="3"/>
      <c r="AB83" s="3"/>
      <c r="AC83" s="3"/>
      <c r="AD83" s="3"/>
      <c r="AE83" s="3"/>
      <c r="AF83" s="3"/>
      <c r="AG83" s="3"/>
      <c r="AH83" s="3"/>
      <c r="AI83" s="3"/>
      <c r="AJ83" s="3"/>
      <c r="AK83" s="3"/>
      <c r="AL83" s="3"/>
      <c r="AM83" s="3"/>
      <c r="AN83" s="3"/>
      <c r="AO83" s="3"/>
      <c r="AP83" s="3"/>
      <c r="AQ83" s="3"/>
      <c r="AR83" s="3"/>
    </row>
    <row r="84" spans="1:44" s="7" customFormat="1" ht="5.25" customHeight="1">
      <c r="A84" s="258"/>
      <c r="B84" s="44"/>
      <c r="C84" s="44"/>
      <c r="D84" s="44"/>
      <c r="E84" s="44"/>
      <c r="F84" s="50"/>
      <c r="G84" s="44"/>
      <c r="H84" s="44"/>
      <c r="I84" s="44"/>
      <c r="J84" s="44"/>
      <c r="K84" s="44"/>
      <c r="L84" s="3"/>
      <c r="M84" s="3"/>
      <c r="N84" s="3"/>
      <c r="O84" s="3"/>
      <c r="P84" s="4" t="s">
        <v>231</v>
      </c>
      <c r="Q84" s="7">
        <f>IF(OR(E81="",E82=""),1,ABS(E81-E82))</f>
        <v>1</v>
      </c>
      <c r="R84" s="7">
        <f>IF(OR(E81="",E82=""),"",(E81-E82))</f>
      </c>
      <c r="T84" s="1"/>
      <c r="U84" s="3">
        <f>IF(Q84&gt;24,"The comparison of "&amp;P84&amp;" was found to be significant and unusual (&lt;10%)","")</f>
      </c>
      <c r="X84" s="1"/>
      <c r="AA84" s="3"/>
      <c r="AB84" s="3"/>
      <c r="AC84" s="3"/>
      <c r="AD84" s="3"/>
      <c r="AE84" s="3"/>
      <c r="AF84" s="3"/>
      <c r="AG84" s="3"/>
      <c r="AH84" s="3"/>
      <c r="AI84" s="3"/>
      <c r="AJ84" s="3"/>
      <c r="AK84" s="3"/>
      <c r="AL84" s="3"/>
      <c r="AM84" s="3"/>
      <c r="AN84" s="3"/>
      <c r="AO84" s="3"/>
      <c r="AP84" s="3"/>
      <c r="AQ84" s="3"/>
      <c r="AR84" s="3"/>
    </row>
    <row r="85" spans="1:44" s="7" customFormat="1" ht="5.25" customHeight="1">
      <c r="A85" s="258"/>
      <c r="B85" s="3"/>
      <c r="C85" s="3"/>
      <c r="D85" s="3"/>
      <c r="E85" s="3"/>
      <c r="F85"/>
      <c r="G85" s="3"/>
      <c r="H85" s="3"/>
      <c r="I85" s="3"/>
      <c r="J85" s="3"/>
      <c r="K85" s="3"/>
      <c r="L85" s="3"/>
      <c r="M85" s="3"/>
      <c r="N85" s="3"/>
      <c r="O85" s="3"/>
      <c r="P85" s="4"/>
      <c r="T85" s="1"/>
      <c r="U85" s="3"/>
      <c r="X85" s="1"/>
      <c r="AA85" s="3"/>
      <c r="AB85" s="3"/>
      <c r="AC85" s="3"/>
      <c r="AD85" s="3"/>
      <c r="AE85" s="3"/>
      <c r="AF85" s="3"/>
      <c r="AG85" s="3"/>
      <c r="AH85" s="3"/>
      <c r="AI85" s="3"/>
      <c r="AJ85" s="3"/>
      <c r="AK85" s="3"/>
      <c r="AL85" s="3"/>
      <c r="AM85" s="3"/>
      <c r="AN85" s="3"/>
      <c r="AO85" s="3"/>
      <c r="AP85" s="3"/>
      <c r="AQ85" s="3"/>
      <c r="AR85" s="3"/>
    </row>
    <row r="86" spans="1:44" s="7" customFormat="1" ht="4.5" customHeight="1" hidden="1">
      <c r="A86" s="258"/>
      <c r="B86" s="3"/>
      <c r="C86" s="3"/>
      <c r="D86" s="3"/>
      <c r="E86" s="3"/>
      <c r="F86"/>
      <c r="G86" s="3"/>
      <c r="H86" s="3"/>
      <c r="I86" s="3"/>
      <c r="J86" s="3"/>
      <c r="K86" s="3"/>
      <c r="L86" s="3"/>
      <c r="M86" s="3"/>
      <c r="N86" s="3"/>
      <c r="O86" s="3"/>
      <c r="P86" s="4"/>
      <c r="T86" s="1"/>
      <c r="U86" s="3"/>
      <c r="X86" s="1"/>
      <c r="AA86" s="3"/>
      <c r="AB86" s="3"/>
      <c r="AC86" s="3"/>
      <c r="AD86" s="3"/>
      <c r="AE86" s="3"/>
      <c r="AF86" s="3"/>
      <c r="AG86" s="3"/>
      <c r="AH86" s="3"/>
      <c r="AI86" s="3"/>
      <c r="AJ86" s="3"/>
      <c r="AK86" s="3"/>
      <c r="AL86" s="3"/>
      <c r="AM86" s="3"/>
      <c r="AN86" s="3"/>
      <c r="AO86" s="3"/>
      <c r="AP86" s="3"/>
      <c r="AQ86" s="3"/>
      <c r="AR86" s="3"/>
    </row>
    <row r="87" spans="1:44" s="7" customFormat="1" ht="14.25" customHeight="1">
      <c r="A87" s="258"/>
      <c r="B87" s="3"/>
      <c r="C87" s="3"/>
      <c r="D87" s="38" t="s">
        <v>87</v>
      </c>
      <c r="E87" s="33">
        <f>IF(C20="","",C20)</f>
        <v>102</v>
      </c>
      <c r="F87" s="25" t="str">
        <f>IF(E87="","",E20)</f>
        <v>55 PR</v>
      </c>
      <c r="G87" s="234" t="str">
        <f>IF(F87="","",F20)</f>
        <v>92 to 112</v>
      </c>
      <c r="H87" s="234"/>
      <c r="I87" s="26" t="str">
        <f>IF(F87="","",H20)</f>
        <v>Average to High Average</v>
      </c>
      <c r="J87" s="3"/>
      <c r="K87" s="3"/>
      <c r="L87" s="3"/>
      <c r="M87" s="3"/>
      <c r="N87" s="3"/>
      <c r="O87" s="3"/>
      <c r="P87" s="4" t="s">
        <v>232</v>
      </c>
      <c r="Q87" s="7" t="e">
        <f>IF(OR(E81="",#REF!=""),1,ABS(E81-#REF!))</f>
        <v>#REF!</v>
      </c>
      <c r="R87" s="7" t="e">
        <f>IF(OR(E81="",#REF!=""),"",ABS(E81-#REF!))</f>
        <v>#REF!</v>
      </c>
      <c r="T87" s="1"/>
      <c r="U87" s="3" t="e">
        <f>IF(Q87&gt;20,"The comparison of "&amp;P87&amp;" was found to be significant and unusual (&lt;10%)","")</f>
        <v>#REF!</v>
      </c>
      <c r="X87" s="1"/>
      <c r="AA87" s="3"/>
      <c r="AB87" s="3"/>
      <c r="AC87" s="3"/>
      <c r="AD87" s="3"/>
      <c r="AE87" s="3"/>
      <c r="AF87" s="3"/>
      <c r="AG87" s="3"/>
      <c r="AH87" s="3"/>
      <c r="AI87" s="3"/>
      <c r="AJ87" s="3"/>
      <c r="AK87" s="3"/>
      <c r="AL87" s="3"/>
      <c r="AM87" s="3"/>
      <c r="AN87" s="3"/>
      <c r="AO87" s="3"/>
      <c r="AP87" s="3"/>
      <c r="AQ87" s="3"/>
      <c r="AR87" s="3"/>
    </row>
    <row r="88" spans="1:44" s="7" customFormat="1" ht="1.5" customHeight="1">
      <c r="A88" s="258"/>
      <c r="B88" s="3"/>
      <c r="C88" s="3"/>
      <c r="D88" s="3"/>
      <c r="E88" s="3"/>
      <c r="F88"/>
      <c r="G88" s="3"/>
      <c r="H88" s="3"/>
      <c r="I88" s="3"/>
      <c r="J88" s="3"/>
      <c r="K88" s="3"/>
      <c r="L88" s="3"/>
      <c r="M88" s="28"/>
      <c r="N88" s="3"/>
      <c r="O88" s="3"/>
      <c r="P88" s="4" t="s">
        <v>233</v>
      </c>
      <c r="Q88" s="7" t="e">
        <f>IF(OR(E82="",#REF!=""),1,ABS(E82-#REF!))</f>
        <v>#REF!</v>
      </c>
      <c r="R88" s="7" t="e">
        <f>IF(OR(E82="",#REF!=""),"",ABS(E82-#REF!))</f>
        <v>#REF!</v>
      </c>
      <c r="T88" s="1"/>
      <c r="U88" s="3" t="e">
        <f>IF(Q88&gt;27,"The comparison of "&amp;P88&amp;" was found to be significant and unusual (&lt;10%)","")</f>
        <v>#REF!</v>
      </c>
      <c r="X88" s="1"/>
      <c r="AA88" s="3"/>
      <c r="AB88" s="3"/>
      <c r="AC88" s="3"/>
      <c r="AD88" s="3"/>
      <c r="AE88" s="3"/>
      <c r="AF88" s="3"/>
      <c r="AG88" s="3"/>
      <c r="AH88" s="3"/>
      <c r="AI88" s="3"/>
      <c r="AJ88" s="3"/>
      <c r="AK88" s="3"/>
      <c r="AL88" s="3"/>
      <c r="AM88" s="3"/>
      <c r="AN88" s="3"/>
      <c r="AO88" s="3"/>
      <c r="AP88" s="3"/>
      <c r="AQ88" s="3"/>
      <c r="AR88" s="3"/>
    </row>
    <row r="89" spans="1:44" s="7" customFormat="1" ht="15" customHeight="1">
      <c r="A89" s="258"/>
      <c r="B89" s="3"/>
      <c r="D89" s="23" t="s">
        <v>106</v>
      </c>
      <c r="E89" s="18">
        <f>IF(D9="","",D9)</f>
        <v>109</v>
      </c>
      <c r="F89" s="25" t="str">
        <f>IF(E89="","",LOOKUP(E89,conversion)&amp;" PR")</f>
        <v>73 PR</v>
      </c>
      <c r="G89" s="234" t="str">
        <f>G72</f>
        <v>87 to 131</v>
      </c>
      <c r="H89" s="234"/>
      <c r="I89" s="26" t="str">
        <f>I72</f>
        <v>Low Average to Very Superior</v>
      </c>
      <c r="J89" s="3"/>
      <c r="K89" s="3"/>
      <c r="L89" s="3"/>
      <c r="M89" s="28"/>
      <c r="N89" s="3"/>
      <c r="O89" s="3"/>
      <c r="T89" s="1"/>
      <c r="X89" s="1"/>
      <c r="AA89" s="3"/>
      <c r="AB89" s="3"/>
      <c r="AC89" s="3"/>
      <c r="AD89" s="3"/>
      <c r="AE89" s="3"/>
      <c r="AF89" s="3"/>
      <c r="AG89" s="3"/>
      <c r="AH89" s="3"/>
      <c r="AI89" s="3"/>
      <c r="AJ89" s="3"/>
      <c r="AK89" s="3"/>
      <c r="AL89" s="3"/>
      <c r="AM89" s="3"/>
      <c r="AN89" s="3"/>
      <c r="AO89" s="3"/>
      <c r="AP89" s="3"/>
      <c r="AQ89" s="3"/>
      <c r="AR89" s="3"/>
    </row>
    <row r="90" spans="1:44" s="7" customFormat="1" ht="15" customHeight="1">
      <c r="A90" s="258"/>
      <c r="C90" s="3"/>
      <c r="D90" s="23" t="s">
        <v>108</v>
      </c>
      <c r="E90" s="18">
        <f>IF(D12="","",D12)</f>
        <v>99</v>
      </c>
      <c r="F90" s="25" t="str">
        <f>IF(E90="","",LOOKUP(E90,conversion)&amp;" PR")</f>
        <v>47 PR</v>
      </c>
      <c r="G90" s="234" t="str">
        <f>G74</f>
        <v>89 to 109</v>
      </c>
      <c r="H90" s="234"/>
      <c r="I90" s="26" t="str">
        <f>I74</f>
        <v>Low Average to Average</v>
      </c>
      <c r="J90" s="3"/>
      <c r="K90" s="3"/>
      <c r="L90" s="3"/>
      <c r="M90" s="28"/>
      <c r="N90" s="3"/>
      <c r="O90" s="3"/>
      <c r="T90" s="1"/>
      <c r="X90" s="1"/>
      <c r="AA90" s="3"/>
      <c r="AB90" s="3"/>
      <c r="AC90" s="3"/>
      <c r="AD90" s="3"/>
      <c r="AE90" s="3"/>
      <c r="AF90" s="3"/>
      <c r="AG90" s="3"/>
      <c r="AH90" s="3"/>
      <c r="AI90" s="3"/>
      <c r="AJ90" s="3"/>
      <c r="AK90" s="3"/>
      <c r="AL90" s="3"/>
      <c r="AM90" s="3"/>
      <c r="AN90" s="3"/>
      <c r="AO90" s="3"/>
      <c r="AP90" s="3"/>
      <c r="AQ90" s="3"/>
      <c r="AR90" s="3"/>
    </row>
    <row r="91" spans="1:44" s="7" customFormat="1" ht="5.25" customHeight="1">
      <c r="A91" s="59"/>
      <c r="B91" s="3"/>
      <c r="C91" s="3"/>
      <c r="D91" s="23"/>
      <c r="E91" s="18"/>
      <c r="F91" s="25"/>
      <c r="G91" s="25"/>
      <c r="H91" s="25"/>
      <c r="I91" s="26"/>
      <c r="J91" s="3"/>
      <c r="K91" s="3"/>
      <c r="L91" s="3"/>
      <c r="M91" s="3"/>
      <c r="N91" s="3"/>
      <c r="O91" s="3"/>
      <c r="P91" s="2"/>
      <c r="T91" s="1"/>
      <c r="X91" s="1"/>
      <c r="AA91" s="3"/>
      <c r="AB91" s="3"/>
      <c r="AC91" s="3"/>
      <c r="AD91" s="3"/>
      <c r="AE91" s="3"/>
      <c r="AF91" s="3"/>
      <c r="AG91" s="3"/>
      <c r="AH91" s="3"/>
      <c r="AI91" s="3"/>
      <c r="AJ91" s="3"/>
      <c r="AK91" s="3"/>
      <c r="AL91" s="3"/>
      <c r="AM91" s="3"/>
      <c r="AN91" s="3"/>
      <c r="AO91" s="3"/>
      <c r="AP91" s="3"/>
      <c r="AQ91" s="3"/>
      <c r="AR91" s="3"/>
    </row>
    <row r="92" spans="1:44" s="7" customFormat="1" ht="5.25" customHeight="1">
      <c r="A92" s="59"/>
      <c r="B92" s="44"/>
      <c r="C92" s="44"/>
      <c r="D92" s="45"/>
      <c r="E92" s="46"/>
      <c r="F92" s="47"/>
      <c r="G92" s="47"/>
      <c r="H92" s="47"/>
      <c r="I92" s="48"/>
      <c r="J92" s="44"/>
      <c r="K92" s="44"/>
      <c r="L92" s="3"/>
      <c r="M92" s="3"/>
      <c r="N92" s="3"/>
      <c r="O92" s="3"/>
      <c r="P92" s="2"/>
      <c r="T92" s="1"/>
      <c r="X92" s="1"/>
      <c r="AA92" s="3"/>
      <c r="AB92" s="3"/>
      <c r="AC92" s="3"/>
      <c r="AD92" s="3"/>
      <c r="AE92" s="3"/>
      <c r="AF92" s="3"/>
      <c r="AG92" s="3"/>
      <c r="AH92" s="3"/>
      <c r="AI92" s="3"/>
      <c r="AJ92" s="3"/>
      <c r="AK92" s="3"/>
      <c r="AL92" s="3"/>
      <c r="AM92" s="3"/>
      <c r="AN92" s="3"/>
      <c r="AO92" s="3"/>
      <c r="AP92" s="3"/>
      <c r="AQ92" s="3"/>
      <c r="AR92" s="3"/>
    </row>
    <row r="93" spans="1:44" s="7" customFormat="1" ht="5.25" customHeight="1">
      <c r="A93" s="59"/>
      <c r="B93" s="3"/>
      <c r="C93" s="3"/>
      <c r="F93"/>
      <c r="G93" s="3"/>
      <c r="H93" s="3"/>
      <c r="I93" s="3"/>
      <c r="J93" s="3"/>
      <c r="K93" s="3"/>
      <c r="L93" s="3"/>
      <c r="M93" s="3"/>
      <c r="N93" s="3"/>
      <c r="O93" s="3"/>
      <c r="T93" s="1"/>
      <c r="X93" s="1"/>
      <c r="AA93" s="3"/>
      <c r="AB93" s="3"/>
      <c r="AC93" s="3"/>
      <c r="AD93" s="3"/>
      <c r="AE93" s="3"/>
      <c r="AF93" s="3"/>
      <c r="AG93" s="3"/>
      <c r="AH93" s="3"/>
      <c r="AI93" s="3"/>
      <c r="AJ93" s="3"/>
      <c r="AK93" s="3"/>
      <c r="AL93" s="3"/>
      <c r="AM93" s="3"/>
      <c r="AN93" s="3"/>
      <c r="AO93" s="3"/>
      <c r="AP93" s="3"/>
      <c r="AQ93" s="3"/>
      <c r="AR93" s="3"/>
    </row>
    <row r="94" spans="1:44" s="7" customFormat="1" ht="13.5" customHeight="1">
      <c r="A94" s="258" t="s">
        <v>366</v>
      </c>
      <c r="B94" s="24"/>
      <c r="C94" s="3"/>
      <c r="D94" s="36" t="s">
        <v>90</v>
      </c>
      <c r="E94" s="33">
        <f>IF(C26="","",C26)</f>
        <v>95</v>
      </c>
      <c r="F94" s="25" t="str">
        <f>IF(E94="","",E26)</f>
        <v>37 PR</v>
      </c>
      <c r="G94" s="234" t="str">
        <f>IF(F94="","",F26)</f>
        <v>89 to 101</v>
      </c>
      <c r="H94" s="234"/>
      <c r="I94" s="26" t="str">
        <f>IF(F94="","",H26)</f>
        <v>Low Average to Average</v>
      </c>
      <c r="J94" s="3"/>
      <c r="K94" s="3"/>
      <c r="L94" s="3"/>
      <c r="M94" s="3"/>
      <c r="N94" s="3"/>
      <c r="O94" s="3"/>
      <c r="P94" s="2" t="s">
        <v>226</v>
      </c>
      <c r="Q94" s="7">
        <f>IF(OR(E89="",E90=""),1,ABS(E89-E90))</f>
        <v>10</v>
      </c>
      <c r="R94" s="7">
        <f>IF(OR(E89="",E90=""),"",(E89-E90))</f>
        <v>10</v>
      </c>
      <c r="T94" s="1"/>
      <c r="U94" s="3">
        <f>IF(Q94&gt;27,"The comparison of "&amp;P94&amp;" was found to be significant and unusual (&lt;10%)","")</f>
      </c>
      <c r="X94" s="1"/>
      <c r="AA94" s="3"/>
      <c r="AB94" s="3"/>
      <c r="AC94" s="3"/>
      <c r="AD94" s="3"/>
      <c r="AE94" s="3"/>
      <c r="AF94" s="3"/>
      <c r="AG94" s="3"/>
      <c r="AH94" s="3"/>
      <c r="AI94" s="3"/>
      <c r="AJ94" s="3"/>
      <c r="AK94" s="3"/>
      <c r="AL94" s="3"/>
      <c r="AM94" s="3"/>
      <c r="AN94" s="3"/>
      <c r="AO94" s="3"/>
      <c r="AP94" s="3"/>
      <c r="AQ94" s="3"/>
      <c r="AR94" s="3"/>
    </row>
    <row r="95" spans="1:44" s="7" customFormat="1" ht="0.75" customHeight="1">
      <c r="A95" s="258"/>
      <c r="D95" s="3"/>
      <c r="E95" s="3"/>
      <c r="F95" s="3"/>
      <c r="H95" s="3"/>
      <c r="I95" s="3"/>
      <c r="J95" s="3"/>
      <c r="K95" s="3"/>
      <c r="L95" s="3"/>
      <c r="M95" s="3"/>
      <c r="N95" s="3"/>
      <c r="O95" s="3"/>
      <c r="P95" s="2" t="s">
        <v>227</v>
      </c>
      <c r="Q95" s="7" t="e">
        <f>IF(OR(E89="",#REF!=""),1,ABS(E89-#REF!))</f>
        <v>#REF!</v>
      </c>
      <c r="R95" s="7" t="e">
        <f>IF(OR(E89="",#REF!=""),"",ABS(E89-#REF!))</f>
        <v>#REF!</v>
      </c>
      <c r="T95" s="1"/>
      <c r="U95" s="3" t="e">
        <f>IF(Q95&gt;27,"The comparison of "&amp;P95&amp;" was found to be significant and unusual (&lt;10%)","")</f>
        <v>#REF!</v>
      </c>
      <c r="X95" s="1"/>
      <c r="AA95" s="3"/>
      <c r="AB95" s="3"/>
      <c r="AC95" s="3"/>
      <c r="AD95" s="3"/>
      <c r="AE95" s="3"/>
      <c r="AF95" s="3"/>
      <c r="AG95" s="3"/>
      <c r="AH95" s="3"/>
      <c r="AI95" s="3"/>
      <c r="AJ95" s="3"/>
      <c r="AK95" s="3"/>
      <c r="AL95" s="3"/>
      <c r="AM95" s="3"/>
      <c r="AN95" s="3"/>
      <c r="AO95" s="3"/>
      <c r="AP95" s="3"/>
      <c r="AQ95" s="3"/>
      <c r="AR95" s="3"/>
    </row>
    <row r="96" spans="1:44" s="7" customFormat="1" ht="15" customHeight="1">
      <c r="A96" s="258"/>
      <c r="D96" s="23" t="s">
        <v>111</v>
      </c>
      <c r="E96" s="18">
        <f>IF(F9="","",F9)</f>
        <v>96</v>
      </c>
      <c r="F96" s="25" t="str">
        <f>IF(E96="","",LOOKUP(E96,conversion)&amp;" PR")</f>
        <v>39 PR</v>
      </c>
      <c r="G96" s="234" t="str">
        <f>IF(E96="","",-8+E96&amp;" to "&amp;E96+8)</f>
        <v>88 to 104</v>
      </c>
      <c r="H96" s="234"/>
      <c r="I96" s="26" t="str">
        <f>IF(E96="","",LOOKUP((-8+E96),$B$485:$H$486)&amp;" to "&amp;LOOKUP((8+E96),$B$485:$H$486))</f>
        <v>Low Average to Average</v>
      </c>
      <c r="J96" s="3"/>
      <c r="K96" s="3"/>
      <c r="L96" s="3"/>
      <c r="M96" s="3"/>
      <c r="N96" s="3"/>
      <c r="O96" s="3"/>
      <c r="P96" s="2" t="s">
        <v>228</v>
      </c>
      <c r="Q96" s="7" t="e">
        <f>IF(OR(E89="",#REF!=""),1,ABS(E89-#REF!))</f>
        <v>#REF!</v>
      </c>
      <c r="R96" s="7" t="e">
        <f>IF(OR(E89="",#REF!=""),"",ABS(E89-#REF!))</f>
        <v>#REF!</v>
      </c>
      <c r="T96" s="1"/>
      <c r="U96" s="3" t="e">
        <f>IF(Q96&gt;27,"The comparison of "&amp;P96&amp;" was found to be significant and unusual (&lt;10%)","")</f>
        <v>#REF!</v>
      </c>
      <c r="X96" s="1"/>
      <c r="AA96" s="3"/>
      <c r="AB96" s="3"/>
      <c r="AC96" s="3"/>
      <c r="AD96" s="3"/>
      <c r="AE96" s="3"/>
      <c r="AF96" s="3"/>
      <c r="AG96" s="3"/>
      <c r="AH96" s="3"/>
      <c r="AI96" s="3"/>
      <c r="AJ96" s="3"/>
      <c r="AK96" s="3"/>
      <c r="AL96" s="3"/>
      <c r="AM96" s="3"/>
      <c r="AN96" s="3"/>
      <c r="AO96" s="3"/>
      <c r="AP96" s="3"/>
      <c r="AQ96" s="3"/>
      <c r="AR96" s="3"/>
    </row>
    <row r="97" spans="1:44" s="7" customFormat="1" ht="15" customHeight="1">
      <c r="A97" s="258"/>
      <c r="D97" s="23" t="s">
        <v>112</v>
      </c>
      <c r="E97" s="18">
        <f>IF(G9="","",G9)</f>
        <v>82</v>
      </c>
      <c r="F97" s="25" t="str">
        <f>IF(E97="","",LOOKUP(E97,conversion)&amp;" PR")</f>
        <v>12 PR</v>
      </c>
      <c r="G97" s="234" t="str">
        <f>IF(E97="","",-6+E97&amp;" to "&amp;E97+6)</f>
        <v>76 to 88</v>
      </c>
      <c r="H97" s="234"/>
      <c r="I97" s="26" t="str">
        <f>IF(E97="","",LOOKUP((-6+E97),$B$485:$H$486)&amp;" to "&amp;LOOKUP((6+E97),$B$485:$H$486))</f>
        <v>Low to Low Average</v>
      </c>
      <c r="J97" s="3"/>
      <c r="K97" s="3"/>
      <c r="L97" s="3"/>
      <c r="N97" s="3"/>
      <c r="O97" s="3"/>
      <c r="P97" s="2" t="s">
        <v>229</v>
      </c>
      <c r="Q97" s="7" t="e">
        <f>IF(OR(E90="",#REF!=""),1,ABS(E90-#REF!))</f>
        <v>#REF!</v>
      </c>
      <c r="R97" s="7" t="e">
        <f>IF(OR(E90="",#REF!=""),"",ABS(E90-#REF!))</f>
        <v>#REF!</v>
      </c>
      <c r="T97" s="1"/>
      <c r="U97" s="3" t="e">
        <f>IF(Q97&gt;27,"The comparison of "&amp;P97&amp;" was found to be significant and unusual (&lt;10%)","")</f>
        <v>#REF!</v>
      </c>
      <c r="X97" s="1"/>
      <c r="AA97" s="3"/>
      <c r="AB97" s="3"/>
      <c r="AC97" s="3"/>
      <c r="AD97" s="3"/>
      <c r="AE97" s="3"/>
      <c r="AF97" s="3"/>
      <c r="AG97" s="3"/>
      <c r="AH97" s="3"/>
      <c r="AI97" s="3"/>
      <c r="AJ97" s="3"/>
      <c r="AK97" s="3"/>
      <c r="AL97" s="3"/>
      <c r="AM97" s="3"/>
      <c r="AN97" s="3"/>
      <c r="AO97" s="3"/>
      <c r="AP97" s="3"/>
      <c r="AQ97" s="3"/>
      <c r="AR97" s="3"/>
    </row>
    <row r="98" spans="1:44" s="7" customFormat="1" ht="12.75" customHeight="1">
      <c r="A98" s="258"/>
      <c r="C98" s="3"/>
      <c r="D98" s="23" t="s">
        <v>113</v>
      </c>
      <c r="E98" s="18">
        <f>IF(K9="","",K9)</f>
        <v>99</v>
      </c>
      <c r="F98" s="25" t="str">
        <f>IF(E98="","",LOOKUP(E98,conversion)&amp;" PR")</f>
        <v>47 PR</v>
      </c>
      <c r="G98" s="234" t="str">
        <f>IF(E98="","",-4+E98&amp;" to "&amp;E98+4)</f>
        <v>95 to 103</v>
      </c>
      <c r="H98" s="234"/>
      <c r="I98" s="26" t="str">
        <f>IF(E98="","",LOOKUP((-4+E98),$B$485:$H$486)&amp;" to "&amp;LOOKUP((4+E98),$B$485:$H$486))</f>
        <v>Average to Average</v>
      </c>
      <c r="J98" s="18"/>
      <c r="K98" s="3"/>
      <c r="L98" s="3"/>
      <c r="M98" s="3"/>
      <c r="N98" s="3"/>
      <c r="O98" s="3"/>
      <c r="P98" s="2" t="s">
        <v>230</v>
      </c>
      <c r="Q98" s="7" t="e">
        <f>IF(OR(E90="",#REF!=""),1,ABS(E90-#REF!))</f>
        <v>#REF!</v>
      </c>
      <c r="R98" s="7" t="e">
        <f>IF(OR(E90="",#REF!=""),"",ABS(E90-#REF!))</f>
        <v>#REF!</v>
      </c>
      <c r="T98" s="1"/>
      <c r="U98" s="3" t="e">
        <f>IF(Q98&gt;27,"The comparison of "&amp;P98&amp;" was found to be significant and unusual (&lt;10%)","")</f>
        <v>#REF!</v>
      </c>
      <c r="X98" s="1"/>
      <c r="AA98" s="3"/>
      <c r="AB98" s="3"/>
      <c r="AC98" s="3"/>
      <c r="AD98" s="3"/>
      <c r="AE98" s="3"/>
      <c r="AF98" s="3"/>
      <c r="AG98" s="3"/>
      <c r="AH98" s="3"/>
      <c r="AI98" s="3"/>
      <c r="AJ98" s="3"/>
      <c r="AK98" s="3"/>
      <c r="AL98" s="3"/>
      <c r="AM98" s="3"/>
      <c r="AN98" s="3"/>
      <c r="AO98" s="3"/>
      <c r="AP98" s="3"/>
      <c r="AQ98" s="3"/>
      <c r="AR98" s="3"/>
    </row>
    <row r="99" spans="1:44" s="7" customFormat="1" ht="5.25" customHeight="1">
      <c r="A99" s="258"/>
      <c r="B99" s="3"/>
      <c r="C99" s="3"/>
      <c r="D99" s="3"/>
      <c r="E99" s="3"/>
      <c r="F99" s="3"/>
      <c r="G99" s="3"/>
      <c r="H99" s="3"/>
      <c r="I99" s="3"/>
      <c r="J99" s="18"/>
      <c r="K99" s="3"/>
      <c r="L99" s="3"/>
      <c r="M99" s="3"/>
      <c r="N99" s="3"/>
      <c r="O99" s="3"/>
      <c r="Q99" s="3"/>
      <c r="T99" s="1"/>
      <c r="X99" s="1"/>
      <c r="AA99" s="3"/>
      <c r="AB99" s="3"/>
      <c r="AC99" s="3"/>
      <c r="AD99" s="3"/>
      <c r="AE99" s="3"/>
      <c r="AF99" s="3"/>
      <c r="AG99" s="3"/>
      <c r="AH99" s="3"/>
      <c r="AI99" s="3"/>
      <c r="AJ99" s="3"/>
      <c r="AK99" s="3"/>
      <c r="AL99" s="3"/>
      <c r="AM99" s="3"/>
      <c r="AN99" s="3"/>
      <c r="AO99" s="3"/>
      <c r="AP99" s="3"/>
      <c r="AQ99" s="3"/>
      <c r="AR99" s="3"/>
    </row>
    <row r="100" spans="1:44" s="7" customFormat="1" ht="5.25" customHeight="1">
      <c r="A100" s="258"/>
      <c r="B100" s="44"/>
      <c r="C100" s="44"/>
      <c r="D100" s="45"/>
      <c r="E100" s="46"/>
      <c r="F100" s="47"/>
      <c r="G100" s="47"/>
      <c r="H100" s="47"/>
      <c r="I100" s="48"/>
      <c r="J100" s="44"/>
      <c r="K100" s="44"/>
      <c r="L100" s="3"/>
      <c r="M100" s="3"/>
      <c r="N100" s="3"/>
      <c r="O100" s="3"/>
      <c r="P100" s="3"/>
      <c r="Q100" s="3"/>
      <c r="T100" s="1"/>
      <c r="X100" s="1"/>
      <c r="AA100" s="3"/>
      <c r="AB100" s="3"/>
      <c r="AC100" s="3"/>
      <c r="AD100" s="3"/>
      <c r="AE100" s="3"/>
      <c r="AF100" s="3"/>
      <c r="AG100" s="3"/>
      <c r="AH100" s="3"/>
      <c r="AI100" s="3"/>
      <c r="AJ100" s="3"/>
      <c r="AK100" s="3"/>
      <c r="AL100" s="3"/>
      <c r="AM100" s="3"/>
      <c r="AN100" s="3"/>
      <c r="AO100" s="3"/>
      <c r="AP100" s="3"/>
      <c r="AQ100" s="3"/>
      <c r="AR100" s="3"/>
    </row>
    <row r="101" spans="1:44" s="7" customFormat="1" ht="5.25" customHeight="1">
      <c r="A101" s="258"/>
      <c r="B101" s="3"/>
      <c r="C101" s="3"/>
      <c r="F101"/>
      <c r="G101" s="3"/>
      <c r="H101" s="18"/>
      <c r="I101" s="18"/>
      <c r="J101" s="18"/>
      <c r="K101" s="3"/>
      <c r="L101" s="3"/>
      <c r="M101" s="3"/>
      <c r="N101" s="3"/>
      <c r="O101" s="3"/>
      <c r="P101" s="3"/>
      <c r="Q101" s="3"/>
      <c r="R101" s="3"/>
      <c r="T101" s="1"/>
      <c r="X101" s="1"/>
      <c r="AA101" s="3"/>
      <c r="AB101" s="3"/>
      <c r="AC101" s="3"/>
      <c r="AD101" s="3"/>
      <c r="AE101" s="3"/>
      <c r="AF101" s="3"/>
      <c r="AG101" s="3"/>
      <c r="AH101" s="3"/>
      <c r="AI101" s="3"/>
      <c r="AJ101" s="3"/>
      <c r="AK101" s="3"/>
      <c r="AL101" s="3"/>
      <c r="AM101" s="3"/>
      <c r="AN101" s="3"/>
      <c r="AO101" s="3"/>
      <c r="AP101" s="3"/>
      <c r="AQ101" s="3"/>
      <c r="AR101" s="3"/>
    </row>
    <row r="102" spans="1:44" s="7" customFormat="1" ht="15" customHeight="1">
      <c r="A102" s="258"/>
      <c r="B102" s="24"/>
      <c r="C102" s="3"/>
      <c r="D102" s="36" t="s">
        <v>114</v>
      </c>
      <c r="E102" s="33">
        <f>IF(C31="","",C31)</f>
        <v>92</v>
      </c>
      <c r="F102" s="25" t="str">
        <f>IF(E102="","",E31)</f>
        <v>30 PR</v>
      </c>
      <c r="G102" s="234" t="str">
        <f>IF(F102="","",F31)</f>
        <v>85 to 99</v>
      </c>
      <c r="H102" s="234"/>
      <c r="I102" s="26" t="str">
        <f>IF(F102="","",H31)</f>
        <v>Low Average to Average</v>
      </c>
      <c r="J102" s="3"/>
      <c r="K102" s="3"/>
      <c r="L102"/>
      <c r="M102"/>
      <c r="N102" s="3"/>
      <c r="O102" s="3"/>
      <c r="P102" s="5" t="s">
        <v>234</v>
      </c>
      <c r="Q102" s="7">
        <f>IF(OR(E96="",E97=""),1,ABS(E96-E97))</f>
        <v>14</v>
      </c>
      <c r="R102" s="7">
        <f>IF(OR(E96="",E97=""),"",(E96-E97))</f>
        <v>14</v>
      </c>
      <c r="T102" s="1"/>
      <c r="U102" s="3">
        <f>IF(Q102&gt;30,"the comparison of "&amp;P102&amp;" was found to be significant and unusual (&lt;10%)","")</f>
      </c>
      <c r="AA102" s="3"/>
      <c r="AB102" s="3"/>
      <c r="AC102" s="3"/>
      <c r="AD102" s="3"/>
      <c r="AE102" s="3"/>
      <c r="AF102" s="3"/>
      <c r="AG102" s="3"/>
      <c r="AH102" s="3"/>
      <c r="AI102" s="3"/>
      <c r="AJ102" s="3"/>
      <c r="AK102" s="3"/>
      <c r="AL102" s="3"/>
      <c r="AM102" s="3"/>
      <c r="AN102" s="3"/>
      <c r="AO102" s="3"/>
      <c r="AP102" s="3"/>
      <c r="AQ102" s="3"/>
      <c r="AR102" s="3"/>
    </row>
    <row r="103" spans="1:44" s="7" customFormat="1" ht="4.5" customHeight="1">
      <c r="A103" s="258"/>
      <c r="D103" s="3"/>
      <c r="E103" s="3"/>
      <c r="F103" s="3"/>
      <c r="H103" s="3"/>
      <c r="I103" s="3"/>
      <c r="J103" s="3"/>
      <c r="K103" s="3"/>
      <c r="L103"/>
      <c r="M103"/>
      <c r="N103" s="3"/>
      <c r="O103" s="3"/>
      <c r="P103" s="3"/>
      <c r="AA103" s="3"/>
      <c r="AB103" s="3"/>
      <c r="AC103" s="3"/>
      <c r="AD103" s="3"/>
      <c r="AE103" s="3"/>
      <c r="AF103" s="3"/>
      <c r="AG103" s="3"/>
      <c r="AH103" s="3"/>
      <c r="AI103" s="3"/>
      <c r="AJ103" s="3"/>
      <c r="AK103" s="3"/>
      <c r="AL103" s="3"/>
      <c r="AM103" s="3"/>
      <c r="AN103" s="3"/>
      <c r="AO103" s="3"/>
      <c r="AP103" s="3"/>
      <c r="AQ103" s="3"/>
      <c r="AR103" s="3"/>
    </row>
    <row r="104" spans="1:44" s="7" customFormat="1" ht="15" customHeight="1">
      <c r="A104" s="258"/>
      <c r="D104" s="23" t="s">
        <v>111</v>
      </c>
      <c r="E104" s="18">
        <f>IF(F9="","",F9)</f>
        <v>96</v>
      </c>
      <c r="F104" s="25" t="str">
        <f>IF(E104="","",LOOKUP(E104,conversion)&amp;" PR")</f>
        <v>39 PR</v>
      </c>
      <c r="G104" s="234" t="str">
        <f>G96</f>
        <v>88 to 104</v>
      </c>
      <c r="H104" s="234"/>
      <c r="I104" s="26" t="str">
        <f>I96</f>
        <v>Low Average to Average</v>
      </c>
      <c r="J104" s="3"/>
      <c r="K104" s="3"/>
      <c r="L104"/>
      <c r="M104"/>
      <c r="N104" s="3"/>
      <c r="O104" s="3"/>
      <c r="AA104" s="3"/>
      <c r="AB104" s="3"/>
      <c r="AC104" s="3"/>
      <c r="AD104" s="3"/>
      <c r="AE104" s="3"/>
      <c r="AF104" s="3"/>
      <c r="AG104" s="3"/>
      <c r="AH104" s="3"/>
      <c r="AI104" s="3"/>
      <c r="AJ104" s="3"/>
      <c r="AK104" s="3"/>
      <c r="AL104" s="3"/>
      <c r="AM104" s="3"/>
      <c r="AN104" s="3"/>
      <c r="AO104" s="3"/>
      <c r="AP104" s="3"/>
      <c r="AQ104" s="3"/>
      <c r="AR104" s="3"/>
    </row>
    <row r="105" spans="1:44" s="7" customFormat="1" ht="15" customHeight="1">
      <c r="A105" s="258"/>
      <c r="D105" s="23" t="s">
        <v>112</v>
      </c>
      <c r="E105" s="18">
        <f>IF(G9="","",G9)</f>
        <v>82</v>
      </c>
      <c r="F105" s="25" t="str">
        <f>IF(E105="","",LOOKUP(E105,conversion)&amp;" PR")</f>
        <v>12 PR</v>
      </c>
      <c r="G105" s="234" t="str">
        <f>G97</f>
        <v>76 to 88</v>
      </c>
      <c r="H105" s="234"/>
      <c r="I105" s="26" t="str">
        <f>I97</f>
        <v>Low to Low Average</v>
      </c>
      <c r="J105" s="3"/>
      <c r="K105" s="3"/>
      <c r="L105"/>
      <c r="M105"/>
      <c r="N105" s="3"/>
      <c r="O105" s="3"/>
      <c r="P105" s="3"/>
      <c r="Q105" s="3"/>
      <c r="AA105" s="3"/>
      <c r="AB105" s="3"/>
      <c r="AC105" s="3"/>
      <c r="AD105" s="3"/>
      <c r="AE105" s="3"/>
      <c r="AF105" s="3"/>
      <c r="AG105" s="3"/>
      <c r="AH105" s="3"/>
      <c r="AI105" s="3"/>
      <c r="AJ105" s="3"/>
      <c r="AK105" s="3"/>
      <c r="AL105" s="3"/>
      <c r="AM105" s="3"/>
      <c r="AN105" s="3"/>
      <c r="AO105" s="3"/>
      <c r="AP105" s="3"/>
      <c r="AQ105" s="3"/>
      <c r="AR105" s="3"/>
    </row>
    <row r="106" spans="1:44" s="7" customFormat="1" ht="5.25" customHeight="1">
      <c r="A106" s="258"/>
      <c r="C106" s="3"/>
      <c r="D106"/>
      <c r="E106"/>
      <c r="F106"/>
      <c r="G106"/>
      <c r="H106"/>
      <c r="I106"/>
      <c r="J106" s="18"/>
      <c r="K106" s="3"/>
      <c r="L106"/>
      <c r="M106"/>
      <c r="N106" s="3"/>
      <c r="O106" s="3"/>
      <c r="P106" s="3"/>
      <c r="Q106" s="3"/>
      <c r="AA106" s="3"/>
      <c r="AB106" s="3"/>
      <c r="AC106" s="3"/>
      <c r="AD106" s="3"/>
      <c r="AE106" s="3"/>
      <c r="AF106" s="3"/>
      <c r="AG106" s="3"/>
      <c r="AH106" s="3"/>
      <c r="AI106" s="3"/>
      <c r="AJ106" s="3"/>
      <c r="AK106" s="3"/>
      <c r="AL106" s="3"/>
      <c r="AM106" s="3"/>
      <c r="AN106" s="3"/>
      <c r="AO106" s="3"/>
      <c r="AP106" s="3"/>
      <c r="AQ106" s="3"/>
      <c r="AR106" s="3"/>
    </row>
    <row r="107" spans="1:17" s="7" customFormat="1" ht="5.25" customHeight="1">
      <c r="A107" s="258"/>
      <c r="B107" s="44"/>
      <c r="C107" s="44"/>
      <c r="D107" s="45"/>
      <c r="E107" s="46"/>
      <c r="F107" s="47"/>
      <c r="G107" s="47"/>
      <c r="H107" s="47"/>
      <c r="I107" s="48"/>
      <c r="J107" s="44"/>
      <c r="K107" s="44"/>
      <c r="L107"/>
      <c r="M107"/>
      <c r="O107" s="3"/>
      <c r="P107" s="3"/>
      <c r="Q107" s="3"/>
    </row>
    <row r="108" spans="1:17" s="7" customFormat="1" ht="5.25" customHeight="1">
      <c r="A108" s="258"/>
      <c r="B108" s="3"/>
      <c r="C108" s="3"/>
      <c r="F108"/>
      <c r="G108" s="3"/>
      <c r="H108" s="3"/>
      <c r="I108" s="3"/>
      <c r="J108" s="3"/>
      <c r="K108" s="3"/>
      <c r="L108"/>
      <c r="M108"/>
      <c r="O108" s="3"/>
      <c r="P108" s="3"/>
      <c r="Q108" s="3"/>
    </row>
    <row r="109" spans="1:17" s="7" customFormat="1" ht="12.75" customHeight="1">
      <c r="A109" s="258"/>
      <c r="B109" s="24"/>
      <c r="C109" s="3"/>
      <c r="D109" s="36" t="s">
        <v>94</v>
      </c>
      <c r="E109" s="33">
        <f>IF(C32="","",C32)</f>
        <v>101</v>
      </c>
      <c r="F109" s="25" t="str">
        <f>IF(E109="","",E32)</f>
        <v>53 PR</v>
      </c>
      <c r="G109" s="234" t="str">
        <f>IF(F109="","",F32)</f>
        <v>94 to 108</v>
      </c>
      <c r="H109" s="234"/>
      <c r="I109" s="26" t="str">
        <f>IF(F109="","",H32)</f>
        <v>Average to Average</v>
      </c>
      <c r="J109" s="3"/>
      <c r="K109" s="3"/>
      <c r="L109"/>
      <c r="M109"/>
      <c r="O109" s="3"/>
      <c r="P109" s="3"/>
      <c r="Q109" s="3"/>
    </row>
    <row r="110" spans="1:17" s="7" customFormat="1" ht="4.5" customHeight="1">
      <c r="A110" s="258"/>
      <c r="D110" s="3"/>
      <c r="E110" s="3"/>
      <c r="F110" s="3"/>
      <c r="H110" s="3"/>
      <c r="I110" s="3"/>
      <c r="J110" s="3"/>
      <c r="K110" s="3"/>
      <c r="L110"/>
      <c r="M110"/>
      <c r="O110" s="3"/>
      <c r="P110" s="3"/>
      <c r="Q110" s="3"/>
    </row>
    <row r="111" spans="1:17" s="7" customFormat="1" ht="12.75" customHeight="1">
      <c r="A111" s="258"/>
      <c r="D111" s="23" t="s">
        <v>113</v>
      </c>
      <c r="E111" s="18">
        <f>IF(K9="","",K9)</f>
        <v>99</v>
      </c>
      <c r="F111" s="25" t="str">
        <f>IF(E111="","",LOOKUP(E111,conversion)&amp;" PR")</f>
        <v>47 PR</v>
      </c>
      <c r="G111" s="234" t="str">
        <f>G98</f>
        <v>95 to 103</v>
      </c>
      <c r="H111" s="234"/>
      <c r="I111" s="26" t="str">
        <f>I98</f>
        <v>Average to Average</v>
      </c>
      <c r="J111" s="3"/>
      <c r="K111" s="3"/>
      <c r="L111"/>
      <c r="M111"/>
      <c r="O111" s="3"/>
      <c r="P111" s="3"/>
      <c r="Q111" s="3"/>
    </row>
    <row r="112" spans="1:17" s="7" customFormat="1" ht="12.75" customHeight="1">
      <c r="A112" s="258"/>
      <c r="D112" s="23" t="s">
        <v>359</v>
      </c>
      <c r="E112" s="18">
        <f>IF(H12="","",H12)</f>
        <v>104</v>
      </c>
      <c r="F112" s="25" t="str">
        <f>IF(E112="","",LOOKUP(E112,conversion)&amp;" PR")</f>
        <v>61 PR</v>
      </c>
      <c r="G112" s="234" t="str">
        <f>IF(E112="","",-8+E112&amp;" to "&amp;E112+8)</f>
        <v>96 to 112</v>
      </c>
      <c r="H112" s="234"/>
      <c r="I112" s="26" t="str">
        <f>IF(E112="","",LOOKUP((-8+E112),$B$485:$H$486)&amp;" to "&amp;LOOKUP((8+E112),$B$485:$H$486))</f>
        <v>Average to High Average</v>
      </c>
      <c r="J112" s="3"/>
      <c r="K112" s="3"/>
      <c r="L112"/>
      <c r="M112"/>
      <c r="O112" s="3"/>
      <c r="P112" s="3"/>
      <c r="Q112" s="3"/>
    </row>
    <row r="113" spans="1:17" s="7" customFormat="1" ht="5.25" customHeight="1">
      <c r="A113" s="60"/>
      <c r="C113" s="3"/>
      <c r="D113"/>
      <c r="E113"/>
      <c r="F113"/>
      <c r="G113"/>
      <c r="H113"/>
      <c r="I113"/>
      <c r="J113" s="18"/>
      <c r="K113" s="3"/>
      <c r="L113"/>
      <c r="M113"/>
      <c r="O113" s="3"/>
      <c r="P113" s="3"/>
      <c r="Q113" s="3"/>
    </row>
    <row r="114" spans="1:27" s="7" customFormat="1" ht="5.25" customHeight="1">
      <c r="A114" s="60"/>
      <c r="B114" s="44"/>
      <c r="C114" s="44"/>
      <c r="D114" s="45"/>
      <c r="E114" s="46"/>
      <c r="F114" s="47"/>
      <c r="G114" s="47"/>
      <c r="H114" s="47"/>
      <c r="I114" s="48"/>
      <c r="J114" s="44"/>
      <c r="K114" s="44"/>
      <c r="L114"/>
      <c r="M114"/>
      <c r="O114" s="3"/>
      <c r="P114" s="3"/>
      <c r="Q114" s="3"/>
      <c r="Z114" s="40"/>
      <c r="AA114" s="40"/>
    </row>
    <row r="115" spans="1:28" s="7" customFormat="1" ht="5.25" customHeight="1">
      <c r="A115" s="60"/>
      <c r="B115" s="3"/>
      <c r="C115" s="3"/>
      <c r="F115"/>
      <c r="G115" s="3"/>
      <c r="H115" s="3"/>
      <c r="I115" s="3"/>
      <c r="J115" s="3"/>
      <c r="K115" s="3"/>
      <c r="L115"/>
      <c r="M115"/>
      <c r="O115" s="3"/>
      <c r="P115" s="3"/>
      <c r="Q115" s="3"/>
      <c r="AA115" s="40"/>
      <c r="AB115" s="40"/>
    </row>
    <row r="116" spans="1:29" ht="12.75" customHeight="1">
      <c r="A116" s="258" t="s">
        <v>367</v>
      </c>
      <c r="B116" s="24"/>
      <c r="D116" s="36" t="s">
        <v>91</v>
      </c>
      <c r="E116" s="33">
        <f>IF(C27="","",C27)</f>
        <v>92</v>
      </c>
      <c r="F116" s="25" t="str">
        <f>IF(E116="","",E27)</f>
        <v>30 PR</v>
      </c>
      <c r="G116" s="234" t="str">
        <f>IF(F116="","",F27)</f>
        <v>86 to 98</v>
      </c>
      <c r="H116" s="234"/>
      <c r="I116" s="26" t="str">
        <f>IF(F116="","",H27)</f>
        <v>Low Average to Average</v>
      </c>
      <c r="L116"/>
      <c r="M116"/>
      <c r="R116" s="7"/>
      <c r="S116" s="7"/>
      <c r="V116" s="3"/>
      <c r="Z116" s="18"/>
      <c r="AB116" s="3"/>
      <c r="AC116" s="18"/>
    </row>
    <row r="117" spans="1:29" ht="5.25" customHeight="1">
      <c r="A117" s="258"/>
      <c r="B117" s="7"/>
      <c r="C117" s="7"/>
      <c r="G117" s="7"/>
      <c r="L117"/>
      <c r="M117"/>
      <c r="R117" s="7"/>
      <c r="S117" s="7"/>
      <c r="V117" s="3"/>
      <c r="Z117" s="18"/>
      <c r="AB117" s="3"/>
      <c r="AC117" s="18"/>
    </row>
    <row r="118" spans="1:29" ht="12.75" customHeight="1">
      <c r="A118" s="258"/>
      <c r="B118" s="7"/>
      <c r="C118" s="7"/>
      <c r="D118" s="23" t="s">
        <v>360</v>
      </c>
      <c r="E118" s="18">
        <f>IF(H9="","",H9)</f>
        <v>95</v>
      </c>
      <c r="F118" s="25" t="str">
        <f>IF(E118="","",LOOKUP(E118,conversion)&amp;" PR")</f>
        <v>37 PR</v>
      </c>
      <c r="G118" s="234" t="str">
        <f>IF(E118="","",-6+E118&amp;" to "&amp;E118+6)</f>
        <v>89 to 101</v>
      </c>
      <c r="H118" s="234"/>
      <c r="I118" s="26" t="str">
        <f>IF(E118="","",LOOKUP((-6+E118),$B$485:$H$486)&amp;" to "&amp;LOOKUP((6+E118),$B$485:$H$486))</f>
        <v>Low Average to Average</v>
      </c>
      <c r="L118"/>
      <c r="M118"/>
      <c r="R118" s="7"/>
      <c r="S118" s="7"/>
      <c r="V118" s="3"/>
      <c r="Z118" s="18"/>
      <c r="AB118" s="3"/>
      <c r="AC118" s="18"/>
    </row>
    <row r="119" spans="1:18" ht="12.75" customHeight="1">
      <c r="A119" s="258"/>
      <c r="B119" s="7"/>
      <c r="C119" s="7"/>
      <c r="D119" s="23" t="s">
        <v>363</v>
      </c>
      <c r="E119" s="18">
        <f>IF(I9="","",I9)</f>
        <v>86</v>
      </c>
      <c r="F119" s="25" t="str">
        <f>IF(E119="","",LOOKUP(E119,conversion)&amp;" PR")</f>
        <v>18 PR</v>
      </c>
      <c r="G119" s="234" t="str">
        <f>IF(E119="","",-12+E119&amp;" to "&amp;E119+12)</f>
        <v>74 to 98</v>
      </c>
      <c r="H119" s="234"/>
      <c r="I119" s="26" t="str">
        <f>IF(E119="","",LOOKUP((-12+E119),$B$485:$H$486)&amp;" to "&amp;LOOKUP((12+E119),$B$485:$H$486))</f>
        <v>Low to Average</v>
      </c>
      <c r="L119"/>
      <c r="M119"/>
      <c r="R119" s="7"/>
    </row>
    <row r="120" spans="1:18" ht="12.75" customHeight="1">
      <c r="A120" s="258"/>
      <c r="B120" s="7"/>
      <c r="C120" s="7"/>
      <c r="D120" s="23" t="s">
        <v>361</v>
      </c>
      <c r="E120" s="18">
        <f>IF(L9="","",L9)</f>
        <v>99</v>
      </c>
      <c r="F120" s="25" t="str">
        <f>IF(E120="","",LOOKUP(E120,conversion)&amp;" PR")</f>
        <v>47 PR</v>
      </c>
      <c r="G120" s="234" t="str">
        <f>IF(E120="","",-16+E120&amp;" to "&amp;E120+16)</f>
        <v>83 to 115</v>
      </c>
      <c r="H120" s="234"/>
      <c r="I120" s="26" t="str">
        <f>IF(E120="","",LOOKUP((-16+E120),$B$485:$H$486)&amp;" to "&amp;LOOKUP((16+E120),$B$485:$H$486))</f>
        <v>Low Average to High Average</v>
      </c>
      <c r="L120"/>
      <c r="M120"/>
      <c r="R120" s="7"/>
    </row>
    <row r="121" spans="1:18" ht="5.25" customHeight="1">
      <c r="A121" s="258"/>
      <c r="B121" s="7"/>
      <c r="C121" s="7"/>
      <c r="D121" s="23"/>
      <c r="E121" s="18"/>
      <c r="F121" s="25"/>
      <c r="G121" s="25"/>
      <c r="H121" s="25"/>
      <c r="I121" s="26"/>
      <c r="L121"/>
      <c r="M121"/>
      <c r="R121" s="7"/>
    </row>
    <row r="122" spans="1:18" ht="5.25" customHeight="1">
      <c r="A122" s="258"/>
      <c r="B122" s="44"/>
      <c r="C122" s="44"/>
      <c r="D122" s="45"/>
      <c r="E122" s="46"/>
      <c r="F122" s="47"/>
      <c r="G122" s="47"/>
      <c r="H122" s="47"/>
      <c r="I122" s="48"/>
      <c r="J122" s="44"/>
      <c r="K122" s="44"/>
      <c r="L122"/>
      <c r="M122"/>
      <c r="R122" s="7"/>
    </row>
    <row r="123" spans="1:18" ht="5.25" customHeight="1">
      <c r="A123" s="258"/>
      <c r="D123" s="7"/>
      <c r="E123" s="7"/>
      <c r="F123"/>
      <c r="L123"/>
      <c r="M123"/>
      <c r="R123" s="7"/>
    </row>
    <row r="124" spans="1:18" ht="12.75" customHeight="1">
      <c r="A124" s="258"/>
      <c r="B124" s="24"/>
      <c r="D124" s="36" t="s">
        <v>95</v>
      </c>
      <c r="E124" s="33">
        <f>IF(C33="","",C33)</f>
        <v>104</v>
      </c>
      <c r="F124" s="25" t="str">
        <f>IF(E124="","",E33)</f>
        <v>61 PR</v>
      </c>
      <c r="G124" s="234" t="str">
        <f>IF(F124="","",F33)</f>
        <v>97 to 111</v>
      </c>
      <c r="H124" s="234"/>
      <c r="I124" s="26" t="str">
        <f>IF(F124="","",H33)</f>
        <v>Average to High Average</v>
      </c>
      <c r="L124"/>
      <c r="M124"/>
      <c r="R124" s="7"/>
    </row>
    <row r="125" spans="1:18" ht="3.75" customHeight="1">
      <c r="A125" s="258"/>
      <c r="B125" s="7"/>
      <c r="C125" s="7"/>
      <c r="G125" s="7"/>
      <c r="L125"/>
      <c r="M125"/>
      <c r="R125" s="7"/>
    </row>
    <row r="126" spans="1:17" s="7" customFormat="1" ht="12.75" customHeight="1">
      <c r="A126" s="258"/>
      <c r="D126" s="23" t="s">
        <v>360</v>
      </c>
      <c r="E126" s="18">
        <f>IF(H9="","",H9)</f>
        <v>95</v>
      </c>
      <c r="F126" s="25" t="str">
        <f>IF(E126="","",LOOKUP(E126,conversion)&amp;" PR")</f>
        <v>37 PR</v>
      </c>
      <c r="G126" s="234" t="str">
        <f>G118</f>
        <v>89 to 101</v>
      </c>
      <c r="H126" s="234"/>
      <c r="I126" s="26" t="str">
        <f>I118</f>
        <v>Low Average to Average</v>
      </c>
      <c r="J126" s="3"/>
      <c r="K126" s="3"/>
      <c r="L126"/>
      <c r="M126"/>
      <c r="O126" s="3"/>
      <c r="P126" s="3"/>
      <c r="Q126" s="3"/>
    </row>
    <row r="127" spans="1:17" s="7" customFormat="1" ht="12.75" customHeight="1">
      <c r="A127" s="258"/>
      <c r="D127" s="23" t="s">
        <v>78</v>
      </c>
      <c r="E127" s="18">
        <f>IF(F12="","",F12)</f>
        <v>112</v>
      </c>
      <c r="F127" s="25" t="str">
        <f>IF(E127="","",LOOKUP(E127,conversion)&amp;" PR")</f>
        <v>79 PR</v>
      </c>
      <c r="G127" s="234" t="str">
        <f>IF(E127="","",-8+E127&amp;" to "&amp;E127+8)</f>
        <v>104 to 120</v>
      </c>
      <c r="H127" s="234"/>
      <c r="I127" s="26" t="str">
        <f>IF(E127="","",LOOKUP((-8+E127),$B$485:$H$486)&amp;" to "&amp;LOOKUP((8+E127),$B$485:$H$486))</f>
        <v>Average to Superior</v>
      </c>
      <c r="J127" s="3"/>
      <c r="K127" s="3"/>
      <c r="L127"/>
      <c r="M127"/>
      <c r="O127" s="3"/>
      <c r="P127" s="3"/>
      <c r="Q127" s="3"/>
    </row>
    <row r="128" spans="1:17" s="7" customFormat="1" ht="5.25" customHeight="1">
      <c r="A128" s="258"/>
      <c r="D128" s="23"/>
      <c r="E128" s="18"/>
      <c r="F128" s="25"/>
      <c r="G128" s="25"/>
      <c r="H128" s="25"/>
      <c r="I128" s="26"/>
      <c r="J128" s="3"/>
      <c r="K128" s="3"/>
      <c r="L128"/>
      <c r="M128"/>
      <c r="O128" s="3"/>
      <c r="P128" s="3"/>
      <c r="Q128" s="3"/>
    </row>
    <row r="129" spans="1:17" s="7" customFormat="1" ht="5.25" customHeight="1">
      <c r="A129" s="258"/>
      <c r="B129" s="44"/>
      <c r="C129" s="44"/>
      <c r="D129" s="45"/>
      <c r="E129" s="46"/>
      <c r="F129" s="47"/>
      <c r="G129" s="47"/>
      <c r="H129" s="47"/>
      <c r="I129" s="48"/>
      <c r="J129" s="44"/>
      <c r="K129" s="44"/>
      <c r="L129"/>
      <c r="M129"/>
      <c r="O129" s="3"/>
      <c r="P129" s="3"/>
      <c r="Q129" s="3"/>
    </row>
    <row r="130" spans="1:17" s="7" customFormat="1" ht="5.25" customHeight="1">
      <c r="A130" s="258"/>
      <c r="B130" s="3"/>
      <c r="C130" s="3"/>
      <c r="F130"/>
      <c r="G130" s="3"/>
      <c r="H130" s="3"/>
      <c r="I130" s="3"/>
      <c r="J130" s="3"/>
      <c r="K130" s="3"/>
      <c r="L130"/>
      <c r="M130"/>
      <c r="O130" s="3"/>
      <c r="P130" s="3"/>
      <c r="Q130" s="3"/>
    </row>
    <row r="131" spans="1:17" s="7" customFormat="1" ht="12.75" customHeight="1">
      <c r="A131" s="258"/>
      <c r="B131" s="24"/>
      <c r="C131" s="3"/>
      <c r="D131" s="36" t="s">
        <v>96</v>
      </c>
      <c r="E131" s="33">
        <f>IF(C34="","",C34)</f>
        <v>89</v>
      </c>
      <c r="F131" s="25" t="str">
        <f>IF(E131="","",E34)</f>
        <v>23 PR</v>
      </c>
      <c r="G131" s="234" t="str">
        <f>IF(F131="","",F34)</f>
        <v>82 to 96</v>
      </c>
      <c r="H131" s="234"/>
      <c r="I131" s="26" t="str">
        <f>IF(F131="","",H34)</f>
        <v>Low Average to Average</v>
      </c>
      <c r="J131" s="3"/>
      <c r="K131" s="3"/>
      <c r="L131"/>
      <c r="M131"/>
      <c r="O131" s="3"/>
      <c r="P131" s="3"/>
      <c r="Q131" s="3"/>
    </row>
    <row r="132" spans="1:17" s="7" customFormat="1" ht="3.75" customHeight="1">
      <c r="A132" s="258"/>
      <c r="D132" s="3"/>
      <c r="E132" s="3"/>
      <c r="F132" s="3"/>
      <c r="H132" s="3"/>
      <c r="I132" s="3"/>
      <c r="J132" s="3"/>
      <c r="K132" s="3"/>
      <c r="L132"/>
      <c r="M132"/>
      <c r="O132" s="3"/>
      <c r="P132" s="3"/>
      <c r="Q132" s="3"/>
    </row>
    <row r="133" spans="1:17" s="7" customFormat="1" ht="12.75" customHeight="1">
      <c r="A133" s="258"/>
      <c r="D133" s="23" t="s">
        <v>363</v>
      </c>
      <c r="E133" s="18">
        <f>IF(I9="","",I9)</f>
        <v>86</v>
      </c>
      <c r="F133" s="25" t="str">
        <f>IF(E133="","",LOOKUP(E133,conversion)&amp;" PR")</f>
        <v>18 PR</v>
      </c>
      <c r="G133" s="234" t="str">
        <f>G119</f>
        <v>74 to 98</v>
      </c>
      <c r="H133" s="234"/>
      <c r="I133" s="26" t="str">
        <f>I119</f>
        <v>Low to Average</v>
      </c>
      <c r="J133" s="3"/>
      <c r="K133" s="3"/>
      <c r="L133"/>
      <c r="M133"/>
      <c r="O133" s="3"/>
      <c r="P133" s="3"/>
      <c r="Q133" s="3"/>
    </row>
    <row r="134" spans="1:17" s="7" customFormat="1" ht="12.75" customHeight="1">
      <c r="A134" s="258"/>
      <c r="D134" s="23" t="s">
        <v>361</v>
      </c>
      <c r="E134" s="18">
        <f>IF(L9="","",L9)</f>
        <v>99</v>
      </c>
      <c r="F134" s="25" t="str">
        <f>IF(E134="","",LOOKUP(E134,conversion)&amp;" PR")</f>
        <v>47 PR</v>
      </c>
      <c r="G134" s="234" t="str">
        <f>G120</f>
        <v>83 to 115</v>
      </c>
      <c r="H134" s="234"/>
      <c r="I134" s="26" t="str">
        <f>I120</f>
        <v>Low Average to High Average</v>
      </c>
      <c r="J134" s="3"/>
      <c r="K134" s="3"/>
      <c r="L134"/>
      <c r="M134"/>
      <c r="O134" s="3"/>
      <c r="P134" s="3"/>
      <c r="Q134" s="3"/>
    </row>
    <row r="135" spans="1:17" s="7" customFormat="1" ht="5.25" customHeight="1">
      <c r="A135" s="60"/>
      <c r="D135" s="23"/>
      <c r="E135" s="18"/>
      <c r="F135" s="25"/>
      <c r="G135" s="25"/>
      <c r="H135" s="25"/>
      <c r="I135" s="26"/>
      <c r="J135" s="3"/>
      <c r="K135" s="3"/>
      <c r="L135"/>
      <c r="M135"/>
      <c r="O135" s="3"/>
      <c r="P135" s="3"/>
      <c r="Q135" s="3"/>
    </row>
    <row r="136" spans="1:17" s="7" customFormat="1" ht="5.25" customHeight="1">
      <c r="A136" s="60"/>
      <c r="B136" s="44"/>
      <c r="C136" s="44"/>
      <c r="D136" s="45"/>
      <c r="E136" s="46"/>
      <c r="F136" s="47"/>
      <c r="G136" s="47"/>
      <c r="H136" s="47"/>
      <c r="I136" s="48"/>
      <c r="J136" s="44"/>
      <c r="K136" s="44"/>
      <c r="L136"/>
      <c r="M136"/>
      <c r="O136" s="3"/>
      <c r="P136" s="3"/>
      <c r="Q136" s="3"/>
    </row>
    <row r="137" spans="1:17" s="7" customFormat="1" ht="5.25" customHeight="1">
      <c r="A137" s="60"/>
      <c r="B137" s="3"/>
      <c r="C137" s="3"/>
      <c r="F137"/>
      <c r="G137" s="3"/>
      <c r="H137" s="3"/>
      <c r="I137" s="3"/>
      <c r="J137" s="3"/>
      <c r="K137" s="3"/>
      <c r="L137"/>
      <c r="M137"/>
      <c r="O137" s="3"/>
      <c r="P137" s="3"/>
      <c r="Q137" s="3"/>
    </row>
    <row r="138" spans="1:17" s="7" customFormat="1" ht="12.75">
      <c r="A138" s="258" t="s">
        <v>368</v>
      </c>
      <c r="B138" s="24"/>
      <c r="C138" s="3"/>
      <c r="D138" s="36" t="s">
        <v>100</v>
      </c>
      <c r="E138" s="33">
        <f>IF(C39="","",C39)</f>
        <v>102</v>
      </c>
      <c r="F138" s="25" t="str">
        <f>IF(E138="","",E39)</f>
        <v>55 PR</v>
      </c>
      <c r="G138" s="234" t="str">
        <f>IF(F138="","",F39)</f>
        <v>95 to 109</v>
      </c>
      <c r="H138" s="234"/>
      <c r="I138" s="26" t="str">
        <f>IF(F138="","",H39)</f>
        <v>Average to Average</v>
      </c>
      <c r="J138" s="3"/>
      <c r="K138" s="3"/>
      <c r="L138"/>
      <c r="M138"/>
      <c r="O138" s="3"/>
      <c r="P138" s="3"/>
      <c r="Q138" s="3"/>
    </row>
    <row r="139" spans="1:17" s="7" customFormat="1" ht="5.25" customHeight="1">
      <c r="A139" s="258"/>
      <c r="D139" s="23"/>
      <c r="E139" s="18"/>
      <c r="F139" s="25"/>
      <c r="G139" s="25"/>
      <c r="H139" s="25"/>
      <c r="I139" s="26"/>
      <c r="J139" s="3"/>
      <c r="K139" s="3"/>
      <c r="L139"/>
      <c r="M139"/>
      <c r="P139" s="3"/>
      <c r="Q139" s="3"/>
    </row>
    <row r="140" spans="1:17" s="7" customFormat="1" ht="5.25" customHeight="1">
      <c r="A140" s="258"/>
      <c r="B140" s="44"/>
      <c r="C140" s="44"/>
      <c r="D140" s="45"/>
      <c r="E140" s="46"/>
      <c r="F140" s="47"/>
      <c r="G140" s="47"/>
      <c r="H140" s="47"/>
      <c r="I140" s="48"/>
      <c r="J140" s="44"/>
      <c r="K140" s="44"/>
      <c r="L140"/>
      <c r="M140"/>
      <c r="P140" s="3"/>
      <c r="Q140" s="3"/>
    </row>
    <row r="141" spans="1:17" s="7" customFormat="1" ht="5.25" customHeight="1">
      <c r="A141" s="258"/>
      <c r="B141"/>
      <c r="C141"/>
      <c r="D141"/>
      <c r="E141"/>
      <c r="F141"/>
      <c r="G141"/>
      <c r="H141"/>
      <c r="I141"/>
      <c r="J141"/>
      <c r="K141"/>
      <c r="L141"/>
      <c r="M141"/>
      <c r="P141" s="3"/>
      <c r="Q141" s="3"/>
    </row>
    <row r="142" spans="1:17" s="7" customFormat="1" ht="12.75">
      <c r="A142" s="258"/>
      <c r="B142" s="24"/>
      <c r="C142" s="3"/>
      <c r="D142" s="36" t="s">
        <v>101</v>
      </c>
      <c r="E142" s="33">
        <f>IF(C40="","",C40)</f>
        <v>87</v>
      </c>
      <c r="F142" s="25" t="str">
        <f>IF(E142="","",E40)</f>
        <v>19 PR</v>
      </c>
      <c r="G142" s="234" t="str">
        <f>IF(F142="","",F40)</f>
        <v>80 to 94</v>
      </c>
      <c r="H142" s="234"/>
      <c r="I142" s="26" t="str">
        <f>IF(F142="","",H40)</f>
        <v>Low Average to Average</v>
      </c>
      <c r="J142" s="3"/>
      <c r="K142" s="3"/>
      <c r="L142"/>
      <c r="M142"/>
      <c r="P142" s="3"/>
      <c r="Q142" s="3"/>
    </row>
    <row r="143" spans="1:17" s="7" customFormat="1" ht="5.25" customHeight="1">
      <c r="A143" s="258"/>
      <c r="D143" s="3"/>
      <c r="E143" s="3"/>
      <c r="F143" s="3"/>
      <c r="H143" s="3"/>
      <c r="I143" s="3"/>
      <c r="J143" s="3"/>
      <c r="K143" s="3"/>
      <c r="L143"/>
      <c r="M143"/>
      <c r="P143" s="3"/>
      <c r="Q143" s="3"/>
    </row>
    <row r="144" spans="1:17" s="7" customFormat="1" ht="12.75">
      <c r="A144" s="258"/>
      <c r="D144" s="23" t="s">
        <v>104</v>
      </c>
      <c r="E144" s="18">
        <f>IF(C12="","",C12)</f>
        <v>93</v>
      </c>
      <c r="F144" s="25" t="str">
        <f>IF(E144="","",LOOKUP(E144,conversion)&amp;" PR")</f>
        <v>32 PR</v>
      </c>
      <c r="G144" s="234" t="str">
        <f>G56</f>
        <v>83 to 103</v>
      </c>
      <c r="H144" s="234"/>
      <c r="I144" s="26" t="str">
        <f>I56</f>
        <v>Low Average to Average</v>
      </c>
      <c r="J144" s="3"/>
      <c r="K144" s="3"/>
      <c r="L144"/>
      <c r="M144"/>
      <c r="P144" s="3"/>
      <c r="Q144" s="3"/>
    </row>
    <row r="145" spans="1:17" s="7" customFormat="1" ht="12.75">
      <c r="A145" s="258"/>
      <c r="D145" s="23" t="s">
        <v>362</v>
      </c>
      <c r="E145" s="18">
        <f>IF(J12="","",J12)</f>
        <v>77</v>
      </c>
      <c r="F145" s="25" t="str">
        <f>IF(E145="","",LOOKUP(E145,conversion)&amp;" PR")</f>
        <v>6 PR</v>
      </c>
      <c r="G145" s="234" t="str">
        <f>IF(E145="","",-14+E145&amp;" to "&amp;E145+14)</f>
        <v>63 to 91</v>
      </c>
      <c r="H145" s="234"/>
      <c r="I145" s="26" t="str">
        <f>IF(E145="","",LOOKUP((-14+E145),$B$485:$H$486)&amp;" to "&amp;LOOKUP((14+E145),$B$485:$H$486))</f>
        <v>Very Low to Average</v>
      </c>
      <c r="J145" s="3"/>
      <c r="K145" s="3"/>
      <c r="L145"/>
      <c r="M145"/>
      <c r="P145" s="3"/>
      <c r="Q145" s="3"/>
    </row>
    <row r="146" spans="1:17" s="7" customFormat="1" ht="4.5" customHeight="1">
      <c r="A146" s="258"/>
      <c r="D146" s="23"/>
      <c r="E146" s="18"/>
      <c r="F146" s="25"/>
      <c r="G146" s="25"/>
      <c r="H146" s="25"/>
      <c r="I146" s="26"/>
      <c r="J146" s="3"/>
      <c r="K146" s="3"/>
      <c r="L146"/>
      <c r="M146"/>
      <c r="P146" s="3"/>
      <c r="Q146" s="3"/>
    </row>
    <row r="147" spans="1:17" s="7" customFormat="1" ht="4.5" customHeight="1">
      <c r="A147" s="258"/>
      <c r="B147" s="44"/>
      <c r="C147" s="44"/>
      <c r="D147" s="45"/>
      <c r="E147" s="46"/>
      <c r="F147" s="47"/>
      <c r="G147" s="47"/>
      <c r="H147" s="47"/>
      <c r="I147" s="48"/>
      <c r="J147" s="44"/>
      <c r="K147" s="44"/>
      <c r="L147"/>
      <c r="M147"/>
      <c r="N147" s="1"/>
      <c r="O147" s="1"/>
      <c r="P147" s="3"/>
      <c r="Q147" s="3"/>
    </row>
    <row r="148" spans="1:17" s="7" customFormat="1" ht="4.5" customHeight="1">
      <c r="A148" s="258"/>
      <c r="B148"/>
      <c r="C148"/>
      <c r="D148"/>
      <c r="E148"/>
      <c r="F148"/>
      <c r="G148"/>
      <c r="H148"/>
      <c r="I148"/>
      <c r="J148"/>
      <c r="K148"/>
      <c r="L148"/>
      <c r="M148"/>
      <c r="N148" s="1"/>
      <c r="O148" s="1"/>
      <c r="P148" s="3"/>
      <c r="Q148" s="3"/>
    </row>
    <row r="149" spans="1:45" s="7" customFormat="1" ht="12.75">
      <c r="A149" s="258"/>
      <c r="B149" s="24"/>
      <c r="C149" s="3"/>
      <c r="D149" s="36" t="s">
        <v>97</v>
      </c>
      <c r="E149" s="33">
        <f>IF(C36="","",C36)</f>
        <v>90</v>
      </c>
      <c r="F149" s="25" t="str">
        <f>IF(E149="","",E36)</f>
        <v>25 PR</v>
      </c>
      <c r="G149" s="234" t="str">
        <f>IF(F149="","",F36)</f>
        <v>83 to 97</v>
      </c>
      <c r="H149" s="234"/>
      <c r="I149" s="26" t="str">
        <f>IF(F149="","",H36)</f>
        <v>Low Average to Average</v>
      </c>
      <c r="J149" s="3"/>
      <c r="K149" s="3"/>
      <c r="L149"/>
      <c r="M149"/>
      <c r="N149" s="1"/>
      <c r="O149" s="1"/>
      <c r="P149" s="3"/>
      <c r="Q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row>
    <row r="150" spans="1:45" s="7" customFormat="1" ht="5.25" customHeight="1">
      <c r="A150" s="258"/>
      <c r="D150" s="3"/>
      <c r="E150" s="3"/>
      <c r="F150" s="3"/>
      <c r="H150" s="3"/>
      <c r="I150" s="3"/>
      <c r="J150" s="3"/>
      <c r="K150" s="3"/>
      <c r="L150"/>
      <c r="M150"/>
      <c r="N150" s="1"/>
      <c r="O150" s="1"/>
      <c r="P150" s="3"/>
      <c r="Q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1:45" s="7" customFormat="1" ht="12.75">
      <c r="A151" s="258"/>
      <c r="D151" s="23" t="s">
        <v>102</v>
      </c>
      <c r="E151" s="18">
        <f>IF(B9="","",B9)</f>
        <v>89</v>
      </c>
      <c r="F151" s="25" t="str">
        <f>IF(E151="","",LOOKUP(E151,conversion)&amp;" PR")</f>
        <v>23 PR</v>
      </c>
      <c r="G151" s="234" t="str">
        <f>G47</f>
        <v>85 to 93</v>
      </c>
      <c r="H151" s="234"/>
      <c r="I151" s="26" t="str">
        <f>I47</f>
        <v>Low Average to Average</v>
      </c>
      <c r="K151" s="3"/>
      <c r="L151"/>
      <c r="M151"/>
      <c r="N151" s="1"/>
      <c r="O151" s="1"/>
      <c r="P151" s="3"/>
      <c r="Q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row>
    <row r="152" spans="1:45" s="7" customFormat="1" ht="12.75">
      <c r="A152" s="258"/>
      <c r="D152" s="23" t="s">
        <v>111</v>
      </c>
      <c r="E152" s="18">
        <f>IF(F9="","",F9)</f>
        <v>96</v>
      </c>
      <c r="F152" s="25" t="str">
        <f>IF(E152="","",LOOKUP(E152,conversion)&amp;" PR")</f>
        <v>39 PR</v>
      </c>
      <c r="G152" s="234" t="str">
        <f>G96</f>
        <v>88 to 104</v>
      </c>
      <c r="H152" s="234"/>
      <c r="I152" s="26" t="str">
        <f>I96</f>
        <v>Low Average to Average</v>
      </c>
      <c r="K152" s="3"/>
      <c r="L152"/>
      <c r="M152"/>
      <c r="N152" s="1"/>
      <c r="O152" s="1"/>
      <c r="P152" s="3"/>
      <c r="Q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row>
    <row r="153" spans="1:45" s="7" customFormat="1" ht="12.75">
      <c r="A153" s="258"/>
      <c r="D153" s="23" t="s">
        <v>360</v>
      </c>
      <c r="E153" s="18">
        <f>IF(H9="","",H9)</f>
        <v>95</v>
      </c>
      <c r="F153" s="25" t="str">
        <f>IF(E153="","",LOOKUP(E153,conversion)&amp;" PR")</f>
        <v>37 PR</v>
      </c>
      <c r="G153" s="234" t="str">
        <f>G118</f>
        <v>89 to 101</v>
      </c>
      <c r="H153" s="234"/>
      <c r="I153" s="26" t="str">
        <f>I118</f>
        <v>Low Average to Average</v>
      </c>
      <c r="J153" s="3"/>
      <c r="K153" s="3"/>
      <c r="L153"/>
      <c r="M153"/>
      <c r="N153" s="1"/>
      <c r="O153" s="1"/>
      <c r="P153" s="3"/>
      <c r="Q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1:45" s="7" customFormat="1" ht="5.25" customHeight="1">
      <c r="A154" s="258"/>
      <c r="D154" s="23"/>
      <c r="E154" s="18"/>
      <c r="F154" s="25"/>
      <c r="G154" s="25"/>
      <c r="H154" s="25"/>
      <c r="I154" s="26"/>
      <c r="J154" s="3"/>
      <c r="K154" s="3"/>
      <c r="L154"/>
      <c r="M154"/>
      <c r="N154" s="1"/>
      <c r="O154" s="1"/>
      <c r="P154" s="3"/>
      <c r="Q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row>
    <row r="155" spans="1:45" s="7" customFormat="1" ht="5.25" customHeight="1">
      <c r="A155" s="258"/>
      <c r="B155" s="44"/>
      <c r="C155" s="44"/>
      <c r="D155" s="45"/>
      <c r="E155" s="46"/>
      <c r="F155" s="47"/>
      <c r="G155" s="47"/>
      <c r="H155" s="47"/>
      <c r="I155" s="48"/>
      <c r="J155" s="44"/>
      <c r="K155" s="44"/>
      <c r="L155"/>
      <c r="M155"/>
      <c r="N155" s="1"/>
      <c r="O155" s="1"/>
      <c r="P155" s="3"/>
      <c r="Q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row>
    <row r="156" spans="1:45" s="7" customFormat="1" ht="5.25" customHeight="1">
      <c r="A156" s="258"/>
      <c r="B156"/>
      <c r="C156"/>
      <c r="D156"/>
      <c r="E156"/>
      <c r="F156"/>
      <c r="G156"/>
      <c r="H156"/>
      <c r="I156"/>
      <c r="J156"/>
      <c r="K156"/>
      <c r="L156"/>
      <c r="M156"/>
      <c r="N156" s="1"/>
      <c r="O156" s="1"/>
      <c r="P156" s="3"/>
      <c r="Q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row>
    <row r="157" spans="1:45" s="7" customFormat="1" ht="12.75">
      <c r="A157" s="258"/>
      <c r="B157" s="24"/>
      <c r="C157" s="3"/>
      <c r="D157" s="36" t="s">
        <v>98</v>
      </c>
      <c r="E157" s="33">
        <f>IF(C37="","",C37)</f>
        <v>82</v>
      </c>
      <c r="F157" s="25" t="str">
        <f>IF(E157="","",E37)</f>
        <v>12 PR</v>
      </c>
      <c r="G157" s="234" t="str">
        <f>IF(F157="","",F37)</f>
        <v>75 to 89</v>
      </c>
      <c r="H157" s="234"/>
      <c r="I157" s="26" t="str">
        <f>IF(F157="","",H37)</f>
        <v>Low to Low Average</v>
      </c>
      <c r="J157" s="3"/>
      <c r="K157" s="3"/>
      <c r="L157"/>
      <c r="M157"/>
      <c r="N157" s="1"/>
      <c r="O157" s="1"/>
      <c r="P157" s="3"/>
      <c r="Q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1:45" s="7" customFormat="1" ht="5.25" customHeight="1">
      <c r="A158" s="258"/>
      <c r="D158" s="3"/>
      <c r="E158" s="3"/>
      <c r="F158" s="3"/>
      <c r="H158" s="3"/>
      <c r="I158" s="3"/>
      <c r="J158" s="3"/>
      <c r="K158" s="3"/>
      <c r="L158"/>
      <c r="M158"/>
      <c r="N158" s="1"/>
      <c r="O158" s="1"/>
      <c r="P158" s="3"/>
      <c r="Q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row>
    <row r="159" spans="1:45" s="7" customFormat="1" ht="12.75">
      <c r="A159" s="258"/>
      <c r="D159" s="23" t="s">
        <v>103</v>
      </c>
      <c r="E159" s="18">
        <f>IF(C9="","",C9)</f>
        <v>85</v>
      </c>
      <c r="F159" s="25" t="str">
        <f>IF(E159="","",LOOKUP(E159,conversion)&amp;" PR")</f>
        <v>16 PR</v>
      </c>
      <c r="G159" s="234" t="str">
        <f>G48</f>
        <v>81 to 89</v>
      </c>
      <c r="H159" s="234"/>
      <c r="I159" s="26" t="str">
        <f>I48</f>
        <v>Low Average to Low Average</v>
      </c>
      <c r="L159"/>
      <c r="M159"/>
      <c r="N159" s="1"/>
      <c r="O159" s="1"/>
      <c r="P159" s="3"/>
      <c r="Q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row>
    <row r="160" spans="1:45" s="7" customFormat="1" ht="12.75">
      <c r="A160" s="258"/>
      <c r="D160" s="23" t="s">
        <v>112</v>
      </c>
      <c r="E160" s="18">
        <f>IF(G9="","",G9)</f>
        <v>82</v>
      </c>
      <c r="F160" s="25" t="str">
        <f>IF(E160="","",LOOKUP(E160,conversion)&amp;" PR")</f>
        <v>12 PR</v>
      </c>
      <c r="G160" s="234" t="str">
        <f>G97</f>
        <v>76 to 88</v>
      </c>
      <c r="H160" s="234"/>
      <c r="I160" s="26" t="str">
        <f>I97</f>
        <v>Low to Low Average</v>
      </c>
      <c r="L160"/>
      <c r="M160"/>
      <c r="N160" s="1"/>
      <c r="O160" s="1"/>
      <c r="P160" s="3"/>
      <c r="Q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row>
    <row r="161" spans="1:45" s="7" customFormat="1" ht="12.75">
      <c r="A161" s="258"/>
      <c r="D161" s="23" t="s">
        <v>363</v>
      </c>
      <c r="E161" s="18">
        <f>IF(I9="","",I9)</f>
        <v>86</v>
      </c>
      <c r="F161" s="25" t="str">
        <f>IF(E161="","",LOOKUP(E161,conversion)&amp;" PR")</f>
        <v>18 PR</v>
      </c>
      <c r="G161" s="234" t="str">
        <f>G119</f>
        <v>74 to 98</v>
      </c>
      <c r="H161" s="234"/>
      <c r="I161" s="26" t="str">
        <f>I119</f>
        <v>Low to Average</v>
      </c>
      <c r="J161" s="3"/>
      <c r="K161" s="3"/>
      <c r="L161"/>
      <c r="M161"/>
      <c r="N161" s="1"/>
      <c r="O161" s="1"/>
      <c r="P161" s="3"/>
      <c r="Q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row>
    <row r="162" spans="1:45" s="7" customFormat="1" ht="5.25" customHeight="1">
      <c r="A162" s="258"/>
      <c r="D162" s="23"/>
      <c r="E162" s="18"/>
      <c r="F162" s="25"/>
      <c r="G162" s="25"/>
      <c r="H162" s="25"/>
      <c r="I162" s="26"/>
      <c r="J162" s="3"/>
      <c r="K162" s="3"/>
      <c r="L162"/>
      <c r="M162"/>
      <c r="N162" s="1"/>
      <c r="O162" s="1"/>
      <c r="P162" s="3"/>
      <c r="Q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row>
    <row r="163" spans="1:28" ht="5.25" customHeight="1">
      <c r="A163" s="258"/>
      <c r="B163" s="44"/>
      <c r="C163" s="44"/>
      <c r="D163" s="45"/>
      <c r="E163" s="46"/>
      <c r="F163" s="47"/>
      <c r="G163" s="47"/>
      <c r="H163" s="47"/>
      <c r="I163" s="48"/>
      <c r="J163" s="44"/>
      <c r="K163" s="44"/>
      <c r="L163"/>
      <c r="M163"/>
      <c r="N163" s="1"/>
      <c r="O163" s="1"/>
      <c r="V163" s="3"/>
      <c r="W163" s="3"/>
      <c r="X163" s="3"/>
      <c r="Y163" s="3"/>
      <c r="AB163" s="3"/>
    </row>
    <row r="164" spans="1:28" ht="5.25" customHeight="1">
      <c r="A164" s="258"/>
      <c r="B164"/>
      <c r="C164"/>
      <c r="D164"/>
      <c r="E164"/>
      <c r="F164"/>
      <c r="G164"/>
      <c r="H164"/>
      <c r="I164"/>
      <c r="J164"/>
      <c r="K164"/>
      <c r="L164"/>
      <c r="M164"/>
      <c r="N164" s="1"/>
      <c r="O164" s="1"/>
      <c r="V164" s="3"/>
      <c r="W164" s="3"/>
      <c r="X164" s="3"/>
      <c r="Y164" s="3"/>
      <c r="AB164" s="3"/>
    </row>
    <row r="165" spans="1:28" ht="12.75">
      <c r="A165" s="258"/>
      <c r="B165" s="24"/>
      <c r="D165" s="36" t="s">
        <v>99</v>
      </c>
      <c r="E165" s="33">
        <f>IF(C38="","",C38)</f>
        <v>96</v>
      </c>
      <c r="F165" s="25" t="str">
        <f>IF(E165="","",E38)</f>
        <v>39 PR</v>
      </c>
      <c r="G165" s="234" t="str">
        <f>IF(F165="","",F38)</f>
        <v>89 to 103</v>
      </c>
      <c r="H165" s="234"/>
      <c r="I165" s="26" t="str">
        <f>IF(F165="","",H38)</f>
        <v>Low Average to Average</v>
      </c>
      <c r="L165"/>
      <c r="M165"/>
      <c r="N165" s="1"/>
      <c r="O165" s="1"/>
      <c r="V165" s="3"/>
      <c r="W165" s="3"/>
      <c r="X165" s="3"/>
      <c r="Y165" s="3"/>
      <c r="AB165" s="3"/>
    </row>
    <row r="166" spans="1:28" ht="5.25" customHeight="1">
      <c r="A166" s="258"/>
      <c r="B166" s="7"/>
      <c r="C166" s="7"/>
      <c r="G166" s="7"/>
      <c r="L166"/>
      <c r="M166"/>
      <c r="N166" s="1"/>
      <c r="O166" s="1"/>
      <c r="V166" s="3"/>
      <c r="W166" s="3"/>
      <c r="X166" s="3"/>
      <c r="Y166" s="3"/>
      <c r="AB166" s="3"/>
    </row>
    <row r="167" spans="1:28" ht="12.75">
      <c r="A167" s="258"/>
      <c r="B167" s="7"/>
      <c r="C167" s="7"/>
      <c r="D167" s="23" t="s">
        <v>364</v>
      </c>
      <c r="E167" s="18">
        <f>IF(J9="","",J9)</f>
        <v>93</v>
      </c>
      <c r="F167" s="25" t="str">
        <f>IF(E167="","",LOOKUP(E167,conversion)&amp;" PR")</f>
        <v>32 PR</v>
      </c>
      <c r="G167" s="234" t="str">
        <f>G49</f>
        <v>85 to 101</v>
      </c>
      <c r="H167" s="234"/>
      <c r="I167" s="26" t="str">
        <f>I49</f>
        <v>Low Average to Average</v>
      </c>
      <c r="L167"/>
      <c r="M167"/>
      <c r="N167" s="1"/>
      <c r="O167" s="1"/>
      <c r="V167" s="3"/>
      <c r="W167" s="3"/>
      <c r="X167" s="3"/>
      <c r="Y167" s="3"/>
      <c r="AB167" s="3"/>
    </row>
    <row r="168" spans="1:28" ht="12.75">
      <c r="A168" s="258"/>
      <c r="B168" s="7"/>
      <c r="C168" s="7"/>
      <c r="D168" s="61" t="s">
        <v>113</v>
      </c>
      <c r="E168" s="18">
        <f>IF(K9="","",K9)</f>
        <v>99</v>
      </c>
      <c r="F168" s="25" t="str">
        <f>IF(E168="","",LOOKUP(E168,conversion)&amp;" PR")</f>
        <v>47 PR</v>
      </c>
      <c r="G168" s="234" t="str">
        <f>G111</f>
        <v>95 to 103</v>
      </c>
      <c r="H168" s="234"/>
      <c r="I168" s="26" t="str">
        <f>I111</f>
        <v>Average to Average</v>
      </c>
      <c r="L168"/>
      <c r="M168"/>
      <c r="N168" s="1"/>
      <c r="O168" s="1"/>
      <c r="V168" s="3"/>
      <c r="W168" s="3"/>
      <c r="X168" s="3"/>
      <c r="Y168" s="3"/>
      <c r="AB168" s="3"/>
    </row>
    <row r="169" spans="1:45" s="7" customFormat="1" ht="12.75">
      <c r="A169" s="258"/>
      <c r="D169" s="23" t="s">
        <v>361</v>
      </c>
      <c r="E169" s="18">
        <f>IF(L9="","",L9)</f>
        <v>99</v>
      </c>
      <c r="F169" s="25" t="str">
        <f>IF(E169="","",LOOKUP(E169,conversion)&amp;" PR")</f>
        <v>47 PR</v>
      </c>
      <c r="G169" s="234" t="str">
        <f>G134</f>
        <v>83 to 115</v>
      </c>
      <c r="H169" s="234"/>
      <c r="I169" s="26" t="str">
        <f>I134</f>
        <v>Low Average to High Average</v>
      </c>
      <c r="J169" s="3"/>
      <c r="K169" s="3"/>
      <c r="L169"/>
      <c r="M169"/>
      <c r="N169" s="1"/>
      <c r="O169" s="1"/>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row>
    <row r="170" spans="1:45" s="7" customFormat="1" ht="5.25" customHeight="1">
      <c r="A170"/>
      <c r="D170" s="23"/>
      <c r="E170" s="18"/>
      <c r="F170" s="25"/>
      <c r="G170" s="25"/>
      <c r="H170" s="25"/>
      <c r="I170" s="26"/>
      <c r="J170" s="3"/>
      <c r="K170" s="3"/>
      <c r="L170"/>
      <c r="M170"/>
      <c r="N170" s="1"/>
      <c r="O170" s="1"/>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row>
    <row r="171" spans="1:45" s="7" customFormat="1" ht="5.25" customHeight="1">
      <c r="A171"/>
      <c r="B171" s="44"/>
      <c r="C171" s="44"/>
      <c r="D171" s="45"/>
      <c r="E171" s="46"/>
      <c r="F171" s="47"/>
      <c r="G171" s="47"/>
      <c r="H171" s="47"/>
      <c r="I171" s="48"/>
      <c r="J171" s="44"/>
      <c r="K171" s="44"/>
      <c r="L171"/>
      <c r="M171"/>
      <c r="N171" s="1"/>
      <c r="O171" s="1"/>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row>
    <row r="172" spans="1:45" s="7" customFormat="1" ht="5.25" customHeight="1">
      <c r="A172"/>
      <c r="B172"/>
      <c r="C172"/>
      <c r="D172"/>
      <c r="E172"/>
      <c r="F172"/>
      <c r="G172"/>
      <c r="H172"/>
      <c r="I172"/>
      <c r="J172"/>
      <c r="K172"/>
      <c r="L172"/>
      <c r="M172"/>
      <c r="N172" s="1"/>
      <c r="O172" s="1"/>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row>
    <row r="173" spans="1:45" s="7" customFormat="1" ht="12.75">
      <c r="A173"/>
      <c r="B173" s="24"/>
      <c r="C173" s="3"/>
      <c r="D173" s="36" t="s">
        <v>88</v>
      </c>
      <c r="E173" s="33">
        <f>IF(C23="","",C23)</f>
        <v>90</v>
      </c>
      <c r="F173" s="25" t="str">
        <f>IF(E173="","",E23)</f>
        <v>25 PR</v>
      </c>
      <c r="G173" s="234" t="str">
        <f>IF(F173="","",F23)</f>
        <v>87 to 93</v>
      </c>
      <c r="H173" s="234"/>
      <c r="I173" s="26" t="str">
        <f>IF(F173="","",H23)</f>
        <v>Low Average to Average</v>
      </c>
      <c r="J173" s="3"/>
      <c r="K173" s="3"/>
      <c r="L173"/>
      <c r="M173"/>
      <c r="N173" s="1"/>
      <c r="O173" s="1"/>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row>
    <row r="174" spans="1:45" s="7" customFormat="1" ht="5.25" customHeight="1">
      <c r="A174"/>
      <c r="D174" s="3"/>
      <c r="E174" s="3"/>
      <c r="F174" s="3"/>
      <c r="H174" s="3"/>
      <c r="I174" s="3"/>
      <c r="J174" s="3"/>
      <c r="K174" s="3"/>
      <c r="L174"/>
      <c r="M174"/>
      <c r="N174" s="1"/>
      <c r="O174" s="1"/>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row>
    <row r="175" spans="1:45" s="7" customFormat="1" ht="12" customHeight="1">
      <c r="A175"/>
      <c r="D175" s="23" t="s">
        <v>102</v>
      </c>
      <c r="E175" s="18">
        <f>IF(B9="","",B9)</f>
        <v>89</v>
      </c>
      <c r="F175" s="25" t="str">
        <f>IF(E175="","",LOOKUP(E175,conversion)&amp;" PR")</f>
        <v>23 PR</v>
      </c>
      <c r="G175" s="234" t="str">
        <f>G47</f>
        <v>85 to 93</v>
      </c>
      <c r="H175" s="234"/>
      <c r="I175" s="26" t="str">
        <f>I47</f>
        <v>Low Average to Average</v>
      </c>
      <c r="J175" s="3"/>
      <c r="K175" s="3"/>
      <c r="L175"/>
      <c r="M175"/>
      <c r="N175" s="1"/>
      <c r="O175" s="1"/>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row>
    <row r="176" spans="1:45" s="7" customFormat="1" ht="12" customHeight="1">
      <c r="A176"/>
      <c r="D176" s="23" t="s">
        <v>103</v>
      </c>
      <c r="E176" s="18">
        <f>IF(C9="","",C9)</f>
        <v>85</v>
      </c>
      <c r="F176" s="25" t="str">
        <f aca="true" t="shared" si="9" ref="F176:F183">IF(E176="","",LOOKUP(E176,conversion)&amp;" PR")</f>
        <v>16 PR</v>
      </c>
      <c r="G176" s="234" t="str">
        <f>G48</f>
        <v>81 to 89</v>
      </c>
      <c r="H176" s="234"/>
      <c r="I176" s="26" t="str">
        <f>I47</f>
        <v>Low Average to Average</v>
      </c>
      <c r="J176" s="3"/>
      <c r="K176" s="3"/>
      <c r="L176"/>
      <c r="M176"/>
      <c r="N176" s="1"/>
      <c r="O176" s="1"/>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row>
    <row r="177" spans="1:45" s="7" customFormat="1" ht="12" customHeight="1">
      <c r="A177"/>
      <c r="D177" s="23" t="s">
        <v>111</v>
      </c>
      <c r="E177" s="18">
        <f>IF(F9="","",F9)</f>
        <v>96</v>
      </c>
      <c r="F177" s="25" t="str">
        <f t="shared" si="9"/>
        <v>39 PR</v>
      </c>
      <c r="G177" s="234" t="str">
        <f>G104</f>
        <v>88 to 104</v>
      </c>
      <c r="H177" s="234"/>
      <c r="I177" s="26" t="str">
        <f>I104</f>
        <v>Low Average to Average</v>
      </c>
      <c r="J177" s="3"/>
      <c r="K177" s="3"/>
      <c r="L177"/>
      <c r="M177"/>
      <c r="N177" s="1"/>
      <c r="O177" s="1"/>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row>
    <row r="178" spans="1:45" s="7" customFormat="1" ht="12" customHeight="1">
      <c r="A178"/>
      <c r="D178" s="23" t="s">
        <v>112</v>
      </c>
      <c r="E178" s="18">
        <f>IF(G9="","",G9)</f>
        <v>82</v>
      </c>
      <c r="F178" s="25" t="str">
        <f t="shared" si="9"/>
        <v>12 PR</v>
      </c>
      <c r="G178" s="234" t="str">
        <f>G105</f>
        <v>76 to 88</v>
      </c>
      <c r="H178" s="234"/>
      <c r="I178" s="26" t="str">
        <f>I105</f>
        <v>Low to Low Average</v>
      </c>
      <c r="J178" s="3"/>
      <c r="K178" s="3"/>
      <c r="L178"/>
      <c r="M178"/>
      <c r="N178" s="1"/>
      <c r="O178" s="1"/>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row>
    <row r="179" spans="1:45" s="7" customFormat="1" ht="12" customHeight="1">
      <c r="A179"/>
      <c r="D179" s="23" t="s">
        <v>360</v>
      </c>
      <c r="E179" s="18">
        <f>IF(H9="","",H9)</f>
        <v>95</v>
      </c>
      <c r="F179" s="25" t="str">
        <f t="shared" si="9"/>
        <v>37 PR</v>
      </c>
      <c r="G179" s="234" t="str">
        <f>G118</f>
        <v>89 to 101</v>
      </c>
      <c r="H179" s="234"/>
      <c r="I179" s="26" t="str">
        <f>I118</f>
        <v>Low Average to Average</v>
      </c>
      <c r="J179" s="3"/>
      <c r="K179" s="3"/>
      <c r="L179"/>
      <c r="M179"/>
      <c r="N179" s="1"/>
      <c r="O179" s="1"/>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s="7" customFormat="1" ht="12" customHeight="1">
      <c r="A180"/>
      <c r="D180" s="23" t="s">
        <v>363</v>
      </c>
      <c r="E180" s="18">
        <f>IF(I9="","",I9)</f>
        <v>86</v>
      </c>
      <c r="F180" s="25" t="str">
        <f t="shared" si="9"/>
        <v>18 PR</v>
      </c>
      <c r="G180" s="234" t="str">
        <f>G119</f>
        <v>74 to 98</v>
      </c>
      <c r="H180" s="234"/>
      <c r="I180" s="26" t="str">
        <f>I119</f>
        <v>Low to Average</v>
      </c>
      <c r="J180" s="3"/>
      <c r="K180" s="3"/>
      <c r="L180"/>
      <c r="M180"/>
      <c r="N180" s="1"/>
      <c r="O180" s="1"/>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4:45" s="7" customFormat="1" ht="12" customHeight="1">
      <c r="D181" s="23" t="s">
        <v>364</v>
      </c>
      <c r="E181" s="18">
        <f>IF(J9="","",J9)</f>
        <v>93</v>
      </c>
      <c r="F181" s="25" t="str">
        <f t="shared" si="9"/>
        <v>32 PR</v>
      </c>
      <c r="G181" s="234" t="str">
        <f>G49</f>
        <v>85 to 101</v>
      </c>
      <c r="H181" s="234"/>
      <c r="I181" s="26" t="str">
        <f>I49</f>
        <v>Low Average to Average</v>
      </c>
      <c r="J181" s="3"/>
      <c r="K181" s="3"/>
      <c r="L181" s="1"/>
      <c r="M181" s="1"/>
      <c r="N181" s="1"/>
      <c r="O181" s="1"/>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4:45" s="7" customFormat="1" ht="12" customHeight="1">
      <c r="D182" s="61" t="s">
        <v>113</v>
      </c>
      <c r="E182" s="18">
        <f>IF(K9="","",K9)</f>
        <v>99</v>
      </c>
      <c r="F182" s="25" t="str">
        <f t="shared" si="9"/>
        <v>47 PR</v>
      </c>
      <c r="G182" s="234" t="str">
        <f>G98</f>
        <v>95 to 103</v>
      </c>
      <c r="H182" s="234"/>
      <c r="I182" s="26" t="str">
        <f>I98</f>
        <v>Average to Average</v>
      </c>
      <c r="J182" s="3"/>
      <c r="K182" s="3"/>
      <c r="L182" s="1"/>
      <c r="M182" s="1"/>
      <c r="N182" s="1"/>
      <c r="O182" s="1"/>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row>
    <row r="183" spans="4:45" s="7" customFormat="1" ht="11.25">
      <c r="D183" s="23" t="s">
        <v>361</v>
      </c>
      <c r="E183" s="18">
        <f>IF(L9="","",L9)</f>
        <v>99</v>
      </c>
      <c r="F183" s="25" t="str">
        <f t="shared" si="9"/>
        <v>47 PR</v>
      </c>
      <c r="G183" s="234" t="str">
        <f>G120</f>
        <v>83 to 115</v>
      </c>
      <c r="H183" s="234"/>
      <c r="I183" s="26" t="str">
        <f>I120</f>
        <v>Low Average to High Average</v>
      </c>
      <c r="J183" s="3"/>
      <c r="K183" s="3"/>
      <c r="L183" s="1"/>
      <c r="M183" s="1"/>
      <c r="N183" s="1"/>
      <c r="O183" s="1"/>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4:45" s="7" customFormat="1" ht="5.25" customHeight="1">
      <c r="D184" s="23"/>
      <c r="E184" s="18"/>
      <c r="F184" s="25"/>
      <c r="G184" s="25"/>
      <c r="H184" s="25"/>
      <c r="I184" s="26"/>
      <c r="J184" s="3"/>
      <c r="K184" s="3"/>
      <c r="L184" s="1"/>
      <c r="M184" s="1"/>
      <c r="N184" s="1"/>
      <c r="O184" s="1"/>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row>
    <row r="185" spans="2:45" s="7" customFormat="1" ht="5.25" customHeight="1">
      <c r="B185" s="44"/>
      <c r="C185" s="44"/>
      <c r="D185" s="45"/>
      <c r="E185" s="46"/>
      <c r="F185" s="47"/>
      <c r="G185" s="47"/>
      <c r="H185" s="47"/>
      <c r="I185" s="48"/>
      <c r="J185" s="44"/>
      <c r="K185" s="44"/>
      <c r="L185" s="1"/>
      <c r="M185" s="1"/>
      <c r="N185" s="1"/>
      <c r="O185" s="1"/>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row>
    <row r="186" spans="3:45" s="7" customFormat="1" ht="5.25" customHeight="1">
      <c r="C186" s="3"/>
      <c r="D186" s="3"/>
      <c r="E186" s="3"/>
      <c r="F186" s="3"/>
      <c r="G186" s="3"/>
      <c r="H186" s="3"/>
      <c r="I186" s="3"/>
      <c r="J186" s="3"/>
      <c r="K186" s="1"/>
      <c r="L186" s="1"/>
      <c r="M186" s="1"/>
      <c r="N186" s="1"/>
      <c r="O186" s="1"/>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row>
    <row r="187" spans="1:45" s="7" customFormat="1" ht="11.25">
      <c r="A187" s="3"/>
      <c r="B187" s="3"/>
      <c r="C187" s="3"/>
      <c r="D187" s="3"/>
      <c r="E187" s="3"/>
      <c r="F187" s="3"/>
      <c r="G187" s="3"/>
      <c r="H187" s="3"/>
      <c r="I187" s="3"/>
      <c r="J187" s="3"/>
      <c r="K187" s="1"/>
      <c r="L187" s="1"/>
      <c r="M187" s="1"/>
      <c r="N187" s="1"/>
      <c r="O187" s="1"/>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row>
    <row r="188" spans="1:45" s="7" customFormat="1" ht="11.25">
      <c r="A188" s="3"/>
      <c r="B188" s="3"/>
      <c r="C188" s="3"/>
      <c r="D188" s="3"/>
      <c r="E188" s="3"/>
      <c r="F188" s="3"/>
      <c r="G188" s="3"/>
      <c r="H188" s="3"/>
      <c r="I188" s="3"/>
      <c r="J188" s="3"/>
      <c r="K188" s="1"/>
      <c r="L188" s="1"/>
      <c r="M188" s="1"/>
      <c r="N188" s="1"/>
      <c r="O188" s="1"/>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s="7" customFormat="1" ht="11.25">
      <c r="A189" s="3"/>
      <c r="B189" s="3"/>
      <c r="C189" s="3"/>
      <c r="D189" s="3"/>
      <c r="E189" s="3"/>
      <c r="F189" s="3"/>
      <c r="G189" s="3"/>
      <c r="H189" s="3"/>
      <c r="I189" s="3"/>
      <c r="J189" s="3"/>
      <c r="K189" s="1"/>
      <c r="L189" s="1"/>
      <c r="M189" s="1"/>
      <c r="N189" s="1"/>
      <c r="O189" s="1"/>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s="7" customFormat="1" ht="11.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s="7" customFormat="1" ht="11.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s="7" customFormat="1" ht="11.25">
      <c r="A192" s="3"/>
      <c r="B192" s="3"/>
      <c r="C192" s="3"/>
      <c r="D192" s="3"/>
      <c r="E192" s="3"/>
      <c r="F192" s="3"/>
      <c r="G192" s="3"/>
      <c r="H192" s="3"/>
      <c r="I192" s="3"/>
      <c r="J192" s="3"/>
      <c r="K192" s="1"/>
      <c r="L192" s="1"/>
      <c r="M192" s="1"/>
      <c r="N192" s="1"/>
      <c r="O192" s="1"/>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s="7" customFormat="1" ht="11.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s="7" customFormat="1" ht="11.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s="7" customFormat="1" ht="11.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s="7" customFormat="1" ht="11.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s="7" customFormat="1" ht="11.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row>
    <row r="198" spans="1:45" s="7" customFormat="1" ht="11.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s="7" customFormat="1" ht="11.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row>
    <row r="200" spans="1:45" s="7" customFormat="1" ht="11.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s="7" customFormat="1" ht="11.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s="7" customFormat="1" ht="11.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row>
    <row r="203" spans="1:45" s="7" customFormat="1" ht="11.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s="7" customFormat="1" ht="11.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row>
    <row r="205" spans="1:45" s="7" customFormat="1" ht="11.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s="7" customFormat="1" ht="11.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row>
    <row r="207" spans="1:45" s="7" customFormat="1" ht="11.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row>
    <row r="208" spans="1:45" s="7" customFormat="1" ht="11.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row>
    <row r="209" spans="1:45" s="7" customFormat="1" ht="11.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row>
    <row r="210" spans="1:45" s="7" customFormat="1" ht="11.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row>
    <row r="211" spans="1:45" s="7" customFormat="1" ht="11.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row>
    <row r="212" spans="1:45" s="7" customFormat="1" ht="11.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row>
    <row r="213" spans="1:45" s="7" customFormat="1" ht="11.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row>
    <row r="214" spans="1:45" s="7" customFormat="1" ht="11.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row>
    <row r="215" spans="1:45" s="7" customFormat="1" ht="11.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row>
    <row r="216" spans="1:45" s="7" customFormat="1" ht="11.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row>
    <row r="217" spans="22:28" ht="11.25">
      <c r="V217" s="3"/>
      <c r="W217" s="3"/>
      <c r="X217" s="3"/>
      <c r="Y217" s="3"/>
      <c r="AB217" s="3"/>
    </row>
    <row r="218" spans="22:28" ht="11.25">
      <c r="V218" s="3"/>
      <c r="W218" s="3"/>
      <c r="X218" s="3"/>
      <c r="Y218" s="3"/>
      <c r="AB218" s="3"/>
    </row>
    <row r="219" spans="22:28" ht="11.25">
      <c r="V219" s="3"/>
      <c r="W219" s="3"/>
      <c r="X219" s="3"/>
      <c r="Y219" s="3"/>
      <c r="AB219" s="3"/>
    </row>
    <row r="220" spans="22:28" ht="11.25">
      <c r="V220" s="3"/>
      <c r="W220" s="3"/>
      <c r="X220" s="3"/>
      <c r="Y220" s="3"/>
      <c r="AB220" s="3"/>
    </row>
    <row r="221" spans="22:28" ht="11.25">
      <c r="V221" s="3"/>
      <c r="W221" s="3"/>
      <c r="X221" s="3"/>
      <c r="Y221" s="3"/>
      <c r="AB221" s="3"/>
    </row>
    <row r="222" spans="22:28" ht="11.25">
      <c r="V222" s="3"/>
      <c r="W222" s="3"/>
      <c r="X222" s="3"/>
      <c r="Y222" s="3"/>
      <c r="AB222" s="3"/>
    </row>
    <row r="223" spans="22:28" ht="11.25">
      <c r="V223" s="3"/>
      <c r="W223" s="3"/>
      <c r="X223" s="3"/>
      <c r="Y223" s="3"/>
      <c r="AB223" s="3"/>
    </row>
    <row r="224" spans="22:28" ht="11.25">
      <c r="V224" s="3"/>
      <c r="W224" s="3"/>
      <c r="X224" s="3"/>
      <c r="Y224" s="3"/>
      <c r="AB224" s="3"/>
    </row>
    <row r="225" spans="22:28" ht="11.25">
      <c r="V225" s="3"/>
      <c r="W225" s="3"/>
      <c r="X225" s="3"/>
      <c r="Y225" s="3"/>
      <c r="AB225" s="3"/>
    </row>
    <row r="226" spans="22:28" ht="11.25">
      <c r="V226" s="3"/>
      <c r="W226" s="3"/>
      <c r="X226" s="3"/>
      <c r="Y226" s="3"/>
      <c r="AB226" s="3"/>
    </row>
    <row r="227" spans="22:28" ht="11.25">
      <c r="V227" s="3"/>
      <c r="W227" s="3"/>
      <c r="X227" s="3"/>
      <c r="Y227" s="3"/>
      <c r="AB227" s="3"/>
    </row>
    <row r="228" spans="22:28" ht="11.25">
      <c r="V228" s="3"/>
      <c r="W228" s="3"/>
      <c r="X228" s="3"/>
      <c r="Y228" s="3"/>
      <c r="AB228" s="3"/>
    </row>
    <row r="229" spans="22:28" ht="11.25">
      <c r="V229" s="3"/>
      <c r="W229" s="3"/>
      <c r="X229" s="3"/>
      <c r="Y229" s="3"/>
      <c r="AB229" s="3"/>
    </row>
    <row r="230" spans="22:28" ht="11.25">
      <c r="V230" s="3"/>
      <c r="W230" s="3"/>
      <c r="X230" s="3"/>
      <c r="Y230" s="3"/>
      <c r="AB230" s="3"/>
    </row>
    <row r="231" spans="22:28" ht="11.25">
      <c r="V231" s="3"/>
      <c r="W231" s="3"/>
      <c r="X231" s="3"/>
      <c r="Y231" s="3"/>
      <c r="AB231" s="3"/>
    </row>
    <row r="232" spans="22:28" ht="11.25">
      <c r="V232" s="3"/>
      <c r="W232" s="3"/>
      <c r="X232" s="3"/>
      <c r="Y232" s="3"/>
      <c r="AB232" s="3"/>
    </row>
    <row r="233" spans="22:28" ht="11.25">
      <c r="V233" s="3"/>
      <c r="W233" s="3"/>
      <c r="X233" s="3"/>
      <c r="Y233" s="3"/>
      <c r="AB233" s="3"/>
    </row>
    <row r="234" spans="22:28" ht="11.25">
      <c r="V234" s="3"/>
      <c r="W234" s="3"/>
      <c r="X234" s="3"/>
      <c r="Y234" s="3"/>
      <c r="AB234" s="3"/>
    </row>
    <row r="235" spans="22:28" ht="11.25">
      <c r="V235" s="3"/>
      <c r="W235" s="3"/>
      <c r="X235" s="3"/>
      <c r="Y235" s="3"/>
      <c r="AB235" s="3"/>
    </row>
    <row r="236" spans="22:28" ht="11.25">
      <c r="V236" s="3"/>
      <c r="W236" s="3"/>
      <c r="X236" s="3"/>
      <c r="Y236" s="3"/>
      <c r="AB236" s="3"/>
    </row>
    <row r="237" spans="22:28" ht="11.25">
      <c r="V237" s="3"/>
      <c r="W237" s="3"/>
      <c r="X237" s="3"/>
      <c r="Y237" s="3"/>
      <c r="AB237" s="3"/>
    </row>
    <row r="238" spans="22:28" ht="11.25">
      <c r="V238" s="3"/>
      <c r="W238" s="3"/>
      <c r="X238" s="3"/>
      <c r="Y238" s="3"/>
      <c r="AB238" s="3"/>
    </row>
    <row r="239" spans="22:28" ht="11.25">
      <c r="V239" s="3"/>
      <c r="W239" s="3"/>
      <c r="X239" s="3"/>
      <c r="Y239" s="3"/>
      <c r="AB239" s="3"/>
    </row>
    <row r="240" spans="22:28" ht="11.25">
      <c r="V240" s="3"/>
      <c r="W240" s="3"/>
      <c r="X240" s="3"/>
      <c r="Y240" s="3"/>
      <c r="AB240" s="3"/>
    </row>
    <row r="241" spans="22:28" ht="11.25">
      <c r="V241" s="3"/>
      <c r="W241" s="3"/>
      <c r="X241" s="3"/>
      <c r="Y241" s="3"/>
      <c r="AB241" s="3"/>
    </row>
    <row r="242" spans="22:28" ht="11.25">
      <c r="V242" s="3"/>
      <c r="W242" s="3"/>
      <c r="X242" s="3"/>
      <c r="Y242" s="3"/>
      <c r="AB242" s="3"/>
    </row>
    <row r="243" spans="22:28" ht="11.25">
      <c r="V243" s="3"/>
      <c r="W243" s="3"/>
      <c r="X243" s="3"/>
      <c r="Y243" s="3"/>
      <c r="AB243" s="3"/>
    </row>
    <row r="244" spans="22:28" ht="11.25">
      <c r="V244" s="3"/>
      <c r="W244" s="3"/>
      <c r="X244" s="3"/>
      <c r="Y244" s="3"/>
      <c r="AB244" s="3"/>
    </row>
    <row r="245" spans="22:28" ht="11.25">
      <c r="V245" s="3"/>
      <c r="W245" s="3"/>
      <c r="X245" s="3"/>
      <c r="Y245" s="3"/>
      <c r="AB245" s="3"/>
    </row>
    <row r="246" spans="22:28" ht="11.25">
      <c r="V246" s="3"/>
      <c r="W246" s="3"/>
      <c r="X246" s="3"/>
      <c r="Y246" s="3"/>
      <c r="AB246" s="3"/>
    </row>
    <row r="247" spans="22:28" ht="11.25">
      <c r="V247" s="3"/>
      <c r="W247" s="3"/>
      <c r="X247" s="3"/>
      <c r="Y247" s="3"/>
      <c r="AB247" s="3"/>
    </row>
    <row r="248" spans="22:28" ht="11.25">
      <c r="V248" s="3"/>
      <c r="W248" s="3"/>
      <c r="X248" s="3"/>
      <c r="Y248" s="3"/>
      <c r="AB248" s="3"/>
    </row>
    <row r="249" spans="22:28" ht="11.25">
      <c r="V249" s="3"/>
      <c r="W249" s="3"/>
      <c r="X249" s="3"/>
      <c r="Y249" s="3"/>
      <c r="AB249" s="3"/>
    </row>
    <row r="250" spans="22:28" ht="11.25">
      <c r="V250" s="3"/>
      <c r="W250" s="3"/>
      <c r="X250" s="3"/>
      <c r="Y250" s="3"/>
      <c r="AB250" s="3"/>
    </row>
    <row r="251" spans="22:28" ht="11.25">
      <c r="V251" s="3"/>
      <c r="W251" s="3"/>
      <c r="X251" s="3"/>
      <c r="Y251" s="3"/>
      <c r="AB251" s="3"/>
    </row>
    <row r="252" spans="22:28" ht="11.25">
      <c r="V252" s="3"/>
      <c r="W252" s="3"/>
      <c r="X252" s="3"/>
      <c r="Y252" s="3"/>
      <c r="AB252" s="3"/>
    </row>
    <row r="253" spans="22:28" ht="11.25">
      <c r="V253" s="3"/>
      <c r="W253" s="3"/>
      <c r="X253" s="3"/>
      <c r="Y253" s="3"/>
      <c r="AB253" s="3"/>
    </row>
    <row r="254" spans="22:28" ht="11.25">
      <c r="V254" s="3"/>
      <c r="W254" s="3"/>
      <c r="X254" s="3"/>
      <c r="Y254" s="3"/>
      <c r="AB254" s="3"/>
    </row>
    <row r="255" spans="22:28" ht="11.25">
      <c r="V255" s="3"/>
      <c r="W255" s="3"/>
      <c r="X255" s="3"/>
      <c r="Y255" s="3"/>
      <c r="AB255" s="3"/>
    </row>
    <row r="256" spans="20:30" ht="11.25">
      <c r="T256" s="7"/>
      <c r="U256" s="7"/>
      <c r="V256" s="7"/>
      <c r="W256" s="7"/>
      <c r="X256" s="7"/>
      <c r="Y256" s="7"/>
      <c r="Z256" s="7"/>
      <c r="AA256" s="7"/>
      <c r="AB256" s="7"/>
      <c r="AC256" s="7"/>
      <c r="AD256" s="7"/>
    </row>
    <row r="257" spans="20:30" ht="11.25">
      <c r="T257" s="7"/>
      <c r="U257" s="7"/>
      <c r="V257" s="7"/>
      <c r="W257" s="7"/>
      <c r="X257" s="7"/>
      <c r="Y257" s="7"/>
      <c r="Z257" s="7"/>
      <c r="AA257" s="7"/>
      <c r="AB257" s="7"/>
      <c r="AC257" s="7"/>
      <c r="AD257" s="7"/>
    </row>
    <row r="258" spans="20:30" ht="11.25">
      <c r="T258" s="7"/>
      <c r="U258" s="7"/>
      <c r="V258" s="7"/>
      <c r="W258" s="7"/>
      <c r="X258" s="7"/>
      <c r="Y258" s="7"/>
      <c r="Z258" s="7"/>
      <c r="AA258" s="7"/>
      <c r="AB258" s="7"/>
      <c r="AC258" s="7"/>
      <c r="AD258" s="7"/>
    </row>
    <row r="259" spans="20:30" ht="11.25">
      <c r="T259" s="7"/>
      <c r="U259" s="7"/>
      <c r="V259" s="7"/>
      <c r="W259" s="7"/>
      <c r="X259" s="7"/>
      <c r="Y259" s="7"/>
      <c r="Z259" s="7"/>
      <c r="AA259" s="7"/>
      <c r="AB259" s="7"/>
      <c r="AC259" s="7"/>
      <c r="AD259" s="7"/>
    </row>
    <row r="260" spans="20:30" ht="11.25">
      <c r="T260" s="7"/>
      <c r="U260" s="7"/>
      <c r="V260" s="7"/>
      <c r="W260" s="7"/>
      <c r="X260" s="7"/>
      <c r="Y260" s="7"/>
      <c r="Z260" s="7"/>
      <c r="AA260" s="7"/>
      <c r="AB260" s="7"/>
      <c r="AC260" s="7"/>
      <c r="AD260" s="7"/>
    </row>
    <row r="261" spans="20:30" ht="11.25">
      <c r="T261" s="7"/>
      <c r="U261" s="7"/>
      <c r="V261" s="7"/>
      <c r="W261" s="7"/>
      <c r="X261" s="7"/>
      <c r="Y261" s="7"/>
      <c r="Z261" s="7"/>
      <c r="AA261" s="7"/>
      <c r="AB261" s="7"/>
      <c r="AC261" s="7"/>
      <c r="AD261" s="7"/>
    </row>
    <row r="262" spans="20:30" ht="11.25">
      <c r="T262" s="7"/>
      <c r="U262" s="7"/>
      <c r="V262" s="7"/>
      <c r="W262" s="7"/>
      <c r="X262" s="7"/>
      <c r="Y262" s="7"/>
      <c r="Z262" s="7"/>
      <c r="AA262" s="7"/>
      <c r="AB262" s="7"/>
      <c r="AC262" s="7"/>
      <c r="AD262" s="7"/>
    </row>
    <row r="263" spans="20:30" ht="11.25">
      <c r="T263" s="7"/>
      <c r="U263" s="7"/>
      <c r="V263" s="7"/>
      <c r="W263" s="7"/>
      <c r="X263" s="7"/>
      <c r="Y263" s="7"/>
      <c r="Z263" s="7"/>
      <c r="AA263" s="7"/>
      <c r="AB263" s="7"/>
      <c r="AC263" s="7"/>
      <c r="AD263" s="7"/>
    </row>
    <row r="264" spans="20:30" ht="11.25">
      <c r="T264" s="7"/>
      <c r="U264" s="7"/>
      <c r="V264" s="7"/>
      <c r="W264" s="7"/>
      <c r="X264" s="7"/>
      <c r="Y264" s="7"/>
      <c r="Z264" s="7"/>
      <c r="AA264" s="7"/>
      <c r="AB264" s="7"/>
      <c r="AC264" s="7"/>
      <c r="AD264" s="7"/>
    </row>
    <row r="265" spans="20:30" ht="11.25">
      <c r="T265" s="7"/>
      <c r="U265" s="7"/>
      <c r="V265" s="7"/>
      <c r="W265" s="7"/>
      <c r="X265" s="7"/>
      <c r="Y265" s="7"/>
      <c r="Z265" s="7"/>
      <c r="AA265" s="7"/>
      <c r="AB265" s="7"/>
      <c r="AC265" s="7"/>
      <c r="AD265" s="7"/>
    </row>
    <row r="266" spans="20:30" ht="11.25">
      <c r="T266" s="7"/>
      <c r="U266" s="7"/>
      <c r="V266" s="7"/>
      <c r="W266" s="7"/>
      <c r="X266" s="7"/>
      <c r="Y266" s="7"/>
      <c r="Z266" s="7"/>
      <c r="AA266" s="7"/>
      <c r="AB266" s="7"/>
      <c r="AC266" s="7"/>
      <c r="AD266" s="7"/>
    </row>
    <row r="267" spans="20:30" ht="11.25">
      <c r="T267" s="7"/>
      <c r="U267" s="7"/>
      <c r="V267" s="7"/>
      <c r="W267" s="7"/>
      <c r="X267" s="7"/>
      <c r="Y267" s="7"/>
      <c r="Z267" s="7"/>
      <c r="AA267" s="7"/>
      <c r="AB267" s="7"/>
      <c r="AC267" s="7"/>
      <c r="AD267" s="7"/>
    </row>
    <row r="268" spans="20:30" ht="11.25">
      <c r="T268" s="7"/>
      <c r="U268" s="7"/>
      <c r="V268" s="7"/>
      <c r="W268" s="7"/>
      <c r="X268" s="7"/>
      <c r="Y268" s="7"/>
      <c r="Z268" s="7"/>
      <c r="AA268" s="7"/>
      <c r="AB268" s="7"/>
      <c r="AC268" s="7"/>
      <c r="AD268" s="7"/>
    </row>
    <row r="269" spans="20:30" ht="11.25">
      <c r="T269" s="7"/>
      <c r="U269" s="7"/>
      <c r="V269" s="7"/>
      <c r="W269" s="7"/>
      <c r="X269" s="7"/>
      <c r="Y269" s="7"/>
      <c r="Z269" s="7"/>
      <c r="AA269" s="7"/>
      <c r="AB269" s="7"/>
      <c r="AC269" s="7"/>
      <c r="AD269" s="7"/>
    </row>
    <row r="270" spans="20:30" ht="11.25">
      <c r="T270" s="7"/>
      <c r="U270" s="7"/>
      <c r="V270" s="7"/>
      <c r="W270" s="7"/>
      <c r="X270" s="7"/>
      <c r="Y270" s="7"/>
      <c r="Z270" s="7"/>
      <c r="AA270" s="7"/>
      <c r="AB270" s="7"/>
      <c r="AC270" s="7"/>
      <c r="AD270" s="7"/>
    </row>
    <row r="271" spans="20:30" ht="11.25">
      <c r="T271" s="7"/>
      <c r="U271" s="7"/>
      <c r="V271" s="7"/>
      <c r="W271" s="7"/>
      <c r="X271" s="7"/>
      <c r="Y271" s="7"/>
      <c r="Z271" s="7"/>
      <c r="AA271" s="7"/>
      <c r="AB271" s="7"/>
      <c r="AC271" s="7"/>
      <c r="AD271" s="7"/>
    </row>
    <row r="272" spans="20:30" ht="11.25">
      <c r="T272" s="7"/>
      <c r="U272" s="7"/>
      <c r="V272" s="7"/>
      <c r="W272" s="7"/>
      <c r="X272" s="7"/>
      <c r="Y272" s="7"/>
      <c r="Z272" s="7"/>
      <c r="AA272" s="7"/>
      <c r="AB272" s="7"/>
      <c r="AC272" s="7"/>
      <c r="AD272" s="7"/>
    </row>
    <row r="273" spans="20:30" ht="11.25">
      <c r="T273" s="7"/>
      <c r="U273" s="7"/>
      <c r="V273" s="7"/>
      <c r="W273" s="7"/>
      <c r="X273" s="7"/>
      <c r="Y273" s="7"/>
      <c r="Z273" s="7"/>
      <c r="AA273" s="7"/>
      <c r="AB273" s="7"/>
      <c r="AC273" s="7"/>
      <c r="AD273" s="7"/>
    </row>
    <row r="274" spans="20:30" ht="11.25">
      <c r="T274" s="7"/>
      <c r="U274" s="7"/>
      <c r="V274" s="7"/>
      <c r="W274" s="7"/>
      <c r="X274" s="7"/>
      <c r="Y274" s="7"/>
      <c r="Z274" s="7"/>
      <c r="AA274" s="7"/>
      <c r="AB274" s="7"/>
      <c r="AC274" s="7"/>
      <c r="AD274" s="7"/>
    </row>
    <row r="275" spans="20:30" ht="11.25">
      <c r="T275" s="7"/>
      <c r="U275" s="7"/>
      <c r="V275" s="7"/>
      <c r="W275" s="7"/>
      <c r="X275" s="7"/>
      <c r="Y275" s="7"/>
      <c r="Z275" s="7"/>
      <c r="AA275" s="7"/>
      <c r="AB275" s="7"/>
      <c r="AC275" s="7"/>
      <c r="AD275" s="7"/>
    </row>
    <row r="276" spans="20:30" ht="11.25">
      <c r="T276" s="7"/>
      <c r="U276" s="7"/>
      <c r="V276" s="7"/>
      <c r="W276" s="7"/>
      <c r="X276" s="7"/>
      <c r="Y276" s="7"/>
      <c r="Z276" s="7"/>
      <c r="AA276" s="7"/>
      <c r="AB276" s="7"/>
      <c r="AC276" s="7"/>
      <c r="AD276" s="7"/>
    </row>
    <row r="277" spans="20:30" ht="11.25">
      <c r="T277" s="7"/>
      <c r="U277" s="7"/>
      <c r="V277" s="7"/>
      <c r="W277" s="7"/>
      <c r="X277" s="7"/>
      <c r="Y277" s="7"/>
      <c r="Z277" s="7"/>
      <c r="AA277" s="7"/>
      <c r="AB277" s="7"/>
      <c r="AC277" s="7"/>
      <c r="AD277" s="7"/>
    </row>
    <row r="278" spans="20:30" ht="11.25">
      <c r="T278" s="7"/>
      <c r="U278" s="7"/>
      <c r="V278" s="7"/>
      <c r="W278" s="7"/>
      <c r="X278" s="7"/>
      <c r="Y278" s="7"/>
      <c r="Z278" s="7"/>
      <c r="AA278" s="7"/>
      <c r="AB278" s="7"/>
      <c r="AC278" s="7"/>
      <c r="AD278" s="7"/>
    </row>
    <row r="279" spans="20:30" ht="11.25">
      <c r="T279" s="7"/>
      <c r="U279" s="7"/>
      <c r="V279" s="7"/>
      <c r="W279" s="7"/>
      <c r="X279" s="7"/>
      <c r="Y279" s="7"/>
      <c r="Z279" s="7"/>
      <c r="AA279" s="7"/>
      <c r="AB279" s="7"/>
      <c r="AC279" s="7"/>
      <c r="AD279" s="7"/>
    </row>
    <row r="280" spans="20:30" ht="11.25">
      <c r="T280" s="7"/>
      <c r="U280" s="7"/>
      <c r="V280" s="7"/>
      <c r="W280" s="7"/>
      <c r="X280" s="7"/>
      <c r="Y280" s="7"/>
      <c r="Z280" s="7"/>
      <c r="AA280" s="7"/>
      <c r="AB280" s="7"/>
      <c r="AC280" s="7"/>
      <c r="AD280" s="7"/>
    </row>
    <row r="281" spans="20:30" ht="11.25">
      <c r="T281" s="7"/>
      <c r="U281" s="7"/>
      <c r="V281" s="7"/>
      <c r="W281" s="7"/>
      <c r="X281" s="7"/>
      <c r="Y281" s="7"/>
      <c r="Z281" s="7"/>
      <c r="AA281" s="7"/>
      <c r="AB281" s="7"/>
      <c r="AC281" s="7"/>
      <c r="AD281" s="7"/>
    </row>
    <row r="282" spans="20:30" ht="11.25">
      <c r="T282" s="7"/>
      <c r="U282" s="7"/>
      <c r="V282" s="7"/>
      <c r="W282" s="7"/>
      <c r="X282" s="7"/>
      <c r="Y282" s="7"/>
      <c r="Z282" s="7"/>
      <c r="AA282" s="7"/>
      <c r="AB282" s="7"/>
      <c r="AC282" s="7"/>
      <c r="AD282" s="7"/>
    </row>
    <row r="283" spans="20:30" ht="11.25">
      <c r="T283" s="7"/>
      <c r="U283" s="7"/>
      <c r="V283" s="7"/>
      <c r="W283" s="7"/>
      <c r="X283" s="7"/>
      <c r="Y283" s="7"/>
      <c r="Z283" s="7"/>
      <c r="AA283" s="7"/>
      <c r="AB283" s="7"/>
      <c r="AC283" s="7"/>
      <c r="AD283" s="7"/>
    </row>
    <row r="284" spans="20:30" ht="11.25">
      <c r="T284" s="7"/>
      <c r="U284" s="7"/>
      <c r="V284" s="7"/>
      <c r="W284" s="7"/>
      <c r="X284" s="7"/>
      <c r="Y284" s="7"/>
      <c r="Z284" s="7"/>
      <c r="AA284" s="7"/>
      <c r="AB284" s="7"/>
      <c r="AC284" s="7"/>
      <c r="AD284" s="7"/>
    </row>
    <row r="285" spans="20:30" ht="11.25">
      <c r="T285" s="7"/>
      <c r="U285" s="7"/>
      <c r="V285" s="7"/>
      <c r="W285" s="7"/>
      <c r="X285" s="7"/>
      <c r="Y285" s="7"/>
      <c r="Z285" s="7"/>
      <c r="AA285" s="7"/>
      <c r="AB285" s="7"/>
      <c r="AC285" s="7"/>
      <c r="AD285" s="7"/>
    </row>
    <row r="286" spans="20:30" ht="11.25">
      <c r="T286" s="7"/>
      <c r="U286" s="7"/>
      <c r="V286" s="7"/>
      <c r="W286" s="7"/>
      <c r="X286" s="7"/>
      <c r="Y286" s="7"/>
      <c r="Z286" s="7"/>
      <c r="AA286" s="7"/>
      <c r="AB286" s="7"/>
      <c r="AC286" s="7"/>
      <c r="AD286" s="7"/>
    </row>
    <row r="287" spans="20:30" ht="11.25">
      <c r="T287" s="7"/>
      <c r="U287" s="7"/>
      <c r="V287" s="7"/>
      <c r="W287" s="7"/>
      <c r="X287" s="7"/>
      <c r="Y287" s="7"/>
      <c r="Z287" s="7"/>
      <c r="AA287" s="7"/>
      <c r="AB287" s="7"/>
      <c r="AC287" s="7"/>
      <c r="AD287" s="7"/>
    </row>
    <row r="288" spans="20:30" ht="11.25">
      <c r="T288" s="7"/>
      <c r="U288" s="7"/>
      <c r="V288" s="7"/>
      <c r="W288" s="7"/>
      <c r="X288" s="7"/>
      <c r="Y288" s="7"/>
      <c r="Z288" s="7"/>
      <c r="AA288" s="7"/>
      <c r="AB288" s="7"/>
      <c r="AC288" s="7"/>
      <c r="AD288" s="7"/>
    </row>
    <row r="289" spans="20:30" ht="11.25">
      <c r="T289" s="7"/>
      <c r="U289" s="7"/>
      <c r="V289" s="7"/>
      <c r="W289" s="7"/>
      <c r="X289" s="7"/>
      <c r="Y289" s="7"/>
      <c r="Z289" s="7"/>
      <c r="AA289" s="7"/>
      <c r="AB289" s="7"/>
      <c r="AC289" s="7"/>
      <c r="AD289" s="7"/>
    </row>
    <row r="290" spans="20:30" ht="11.25">
      <c r="T290" s="7"/>
      <c r="U290" s="7"/>
      <c r="V290" s="7"/>
      <c r="W290" s="7"/>
      <c r="X290" s="7"/>
      <c r="Y290" s="7"/>
      <c r="Z290" s="7"/>
      <c r="AA290" s="7"/>
      <c r="AB290" s="7"/>
      <c r="AC290" s="7"/>
      <c r="AD290" s="7"/>
    </row>
    <row r="291" spans="20:30" ht="11.25">
      <c r="T291" s="7"/>
      <c r="U291" s="7"/>
      <c r="V291" s="7"/>
      <c r="W291" s="7"/>
      <c r="X291" s="7"/>
      <c r="Y291" s="7"/>
      <c r="Z291" s="7"/>
      <c r="AA291" s="7"/>
      <c r="AB291" s="7"/>
      <c r="AC291" s="7"/>
      <c r="AD291" s="7"/>
    </row>
    <row r="292" spans="20:30" ht="11.25">
      <c r="T292" s="7"/>
      <c r="U292" s="7"/>
      <c r="V292" s="7"/>
      <c r="W292" s="7"/>
      <c r="X292" s="7"/>
      <c r="Y292" s="7"/>
      <c r="Z292" s="7"/>
      <c r="AA292" s="7"/>
      <c r="AB292" s="7"/>
      <c r="AC292" s="7"/>
      <c r="AD292" s="7"/>
    </row>
    <row r="293" spans="20:30" ht="11.25">
      <c r="T293" s="7"/>
      <c r="U293" s="7"/>
      <c r="V293" s="7"/>
      <c r="W293" s="7"/>
      <c r="X293" s="7"/>
      <c r="Y293" s="7"/>
      <c r="Z293" s="7"/>
      <c r="AA293" s="7"/>
      <c r="AB293" s="7"/>
      <c r="AC293" s="7"/>
      <c r="AD293" s="7"/>
    </row>
    <row r="294" spans="20:30" ht="11.25">
      <c r="T294" s="7"/>
      <c r="U294" s="7"/>
      <c r="V294" s="7"/>
      <c r="W294" s="7"/>
      <c r="X294" s="7"/>
      <c r="Y294" s="7"/>
      <c r="Z294" s="7"/>
      <c r="AA294" s="7"/>
      <c r="AB294" s="7"/>
      <c r="AC294" s="7"/>
      <c r="AD294" s="7"/>
    </row>
    <row r="295" spans="20:30" ht="11.25">
      <c r="T295" s="7"/>
      <c r="U295" s="7"/>
      <c r="V295" s="7"/>
      <c r="W295" s="7"/>
      <c r="X295" s="7"/>
      <c r="Y295" s="7"/>
      <c r="Z295" s="7"/>
      <c r="AA295" s="7"/>
      <c r="AB295" s="7"/>
      <c r="AC295" s="7"/>
      <c r="AD295" s="7"/>
    </row>
    <row r="296" spans="20:30" ht="11.25">
      <c r="T296" s="7"/>
      <c r="U296" s="7"/>
      <c r="V296" s="7"/>
      <c r="W296" s="7"/>
      <c r="X296" s="7"/>
      <c r="Y296" s="7"/>
      <c r="Z296" s="7"/>
      <c r="AA296" s="7"/>
      <c r="AB296" s="7"/>
      <c r="AC296" s="7"/>
      <c r="AD296" s="7"/>
    </row>
    <row r="297" spans="20:30" ht="11.25">
      <c r="T297" s="7"/>
      <c r="U297" s="7"/>
      <c r="V297" s="7"/>
      <c r="W297" s="7"/>
      <c r="X297" s="7"/>
      <c r="Y297" s="7"/>
      <c r="Z297" s="7"/>
      <c r="AA297" s="7"/>
      <c r="AB297" s="7"/>
      <c r="AC297" s="7"/>
      <c r="AD297" s="7"/>
    </row>
    <row r="298" spans="20:30" ht="11.25">
      <c r="T298" s="7"/>
      <c r="U298" s="7"/>
      <c r="V298" s="7"/>
      <c r="W298" s="7"/>
      <c r="X298" s="7"/>
      <c r="Y298" s="7"/>
      <c r="Z298" s="7"/>
      <c r="AA298" s="7"/>
      <c r="AB298" s="7"/>
      <c r="AC298" s="7"/>
      <c r="AD298" s="7"/>
    </row>
    <row r="299" spans="20:30" ht="11.25">
      <c r="T299" s="7"/>
      <c r="U299" s="7"/>
      <c r="V299" s="7"/>
      <c r="W299" s="7"/>
      <c r="X299" s="7"/>
      <c r="Y299" s="7"/>
      <c r="Z299" s="7"/>
      <c r="AA299" s="7"/>
      <c r="AB299" s="7"/>
      <c r="AC299" s="7"/>
      <c r="AD299" s="7"/>
    </row>
    <row r="300" spans="20:30" ht="11.25">
      <c r="T300" s="7"/>
      <c r="U300" s="7"/>
      <c r="V300" s="7"/>
      <c r="W300" s="7"/>
      <c r="X300" s="7"/>
      <c r="Y300" s="7"/>
      <c r="Z300" s="7"/>
      <c r="AA300" s="7"/>
      <c r="AB300" s="7"/>
      <c r="AC300" s="7"/>
      <c r="AD300" s="7"/>
    </row>
    <row r="301" spans="20:30" ht="11.25">
      <c r="T301" s="7"/>
      <c r="U301" s="7"/>
      <c r="V301" s="7"/>
      <c r="W301" s="7"/>
      <c r="X301" s="7"/>
      <c r="Y301" s="7"/>
      <c r="Z301" s="7"/>
      <c r="AA301" s="7"/>
      <c r="AB301" s="7"/>
      <c r="AC301" s="7"/>
      <c r="AD301" s="7"/>
    </row>
    <row r="302" spans="20:30" ht="11.25">
      <c r="T302" s="7"/>
      <c r="U302" s="7"/>
      <c r="V302" s="7"/>
      <c r="W302" s="7"/>
      <c r="X302" s="7"/>
      <c r="Y302" s="7"/>
      <c r="Z302" s="7"/>
      <c r="AA302" s="7"/>
      <c r="AB302" s="7"/>
      <c r="AC302" s="7"/>
      <c r="AD302" s="7"/>
    </row>
    <row r="303" spans="20:30" ht="11.25">
      <c r="T303" s="7"/>
      <c r="U303" s="7"/>
      <c r="V303" s="7"/>
      <c r="W303" s="7"/>
      <c r="X303" s="7"/>
      <c r="Y303" s="7"/>
      <c r="Z303" s="7"/>
      <c r="AA303" s="7"/>
      <c r="AB303" s="7"/>
      <c r="AC303" s="7"/>
      <c r="AD303" s="7"/>
    </row>
    <row r="304" spans="20:30" ht="11.25">
      <c r="T304" s="7"/>
      <c r="U304" s="7"/>
      <c r="V304" s="7"/>
      <c r="W304" s="7"/>
      <c r="X304" s="7"/>
      <c r="Y304" s="7"/>
      <c r="Z304" s="7"/>
      <c r="AA304" s="7"/>
      <c r="AB304" s="7"/>
      <c r="AC304" s="7"/>
      <c r="AD304" s="7"/>
    </row>
    <row r="305" spans="20:30" ht="11.25">
      <c r="T305" s="7"/>
      <c r="U305" s="7"/>
      <c r="V305" s="7"/>
      <c r="W305" s="7"/>
      <c r="X305" s="7"/>
      <c r="Y305" s="7"/>
      <c r="Z305" s="7"/>
      <c r="AA305" s="7"/>
      <c r="AB305" s="7"/>
      <c r="AC305" s="7"/>
      <c r="AD305" s="7"/>
    </row>
    <row r="306" spans="20:30" ht="11.25">
      <c r="T306" s="7"/>
      <c r="U306" s="7"/>
      <c r="V306" s="7"/>
      <c r="W306" s="7"/>
      <c r="X306" s="7"/>
      <c r="Y306" s="7"/>
      <c r="Z306" s="7"/>
      <c r="AA306" s="7"/>
      <c r="AB306" s="7"/>
      <c r="AC306" s="7"/>
      <c r="AD306" s="7"/>
    </row>
    <row r="307" spans="20:30" ht="4.5" customHeight="1">
      <c r="T307" s="7"/>
      <c r="U307" s="7"/>
      <c r="V307" s="7"/>
      <c r="W307" s="7"/>
      <c r="X307" s="7"/>
      <c r="Y307" s="7"/>
      <c r="Z307" s="7"/>
      <c r="AA307" s="7"/>
      <c r="AB307" s="7"/>
      <c r="AC307" s="7"/>
      <c r="AD307" s="7"/>
    </row>
    <row r="308" spans="20:30" ht="11.25">
      <c r="T308" s="7"/>
      <c r="U308" s="7"/>
      <c r="V308" s="7"/>
      <c r="W308" s="7"/>
      <c r="X308" s="7"/>
      <c r="Y308" s="7"/>
      <c r="Z308" s="7"/>
      <c r="AA308" s="7"/>
      <c r="AB308" s="7"/>
      <c r="AC308" s="7"/>
      <c r="AD308" s="7"/>
    </row>
    <row r="309" spans="20:30" ht="11.25">
      <c r="T309" s="7"/>
      <c r="U309" s="7"/>
      <c r="V309" s="7"/>
      <c r="W309" s="7"/>
      <c r="X309" s="7"/>
      <c r="Y309" s="7"/>
      <c r="Z309" s="7"/>
      <c r="AA309" s="7"/>
      <c r="AB309" s="7"/>
      <c r="AC309" s="7"/>
      <c r="AD309" s="7"/>
    </row>
    <row r="310" spans="20:30" ht="11.25">
      <c r="T310" s="7"/>
      <c r="U310" s="7"/>
      <c r="V310" s="7"/>
      <c r="W310" s="7"/>
      <c r="X310" s="7"/>
      <c r="Y310" s="7"/>
      <c r="Z310" s="7"/>
      <c r="AA310" s="7"/>
      <c r="AB310" s="7"/>
      <c r="AC310" s="7"/>
      <c r="AD310" s="7"/>
    </row>
    <row r="311" spans="20:30" ht="4.5" customHeight="1">
      <c r="T311" s="7"/>
      <c r="U311" s="7"/>
      <c r="V311" s="7"/>
      <c r="W311" s="7"/>
      <c r="X311" s="7"/>
      <c r="Y311" s="7"/>
      <c r="Z311" s="7"/>
      <c r="AA311" s="7"/>
      <c r="AB311" s="7"/>
      <c r="AC311" s="7"/>
      <c r="AD311" s="7"/>
    </row>
    <row r="312" spans="20:30" ht="11.25">
      <c r="T312" s="7"/>
      <c r="U312" s="7"/>
      <c r="V312" s="7"/>
      <c r="W312" s="7"/>
      <c r="X312" s="7"/>
      <c r="Y312" s="7"/>
      <c r="Z312" s="7"/>
      <c r="AA312" s="7"/>
      <c r="AB312" s="7"/>
      <c r="AC312" s="7"/>
      <c r="AD312" s="7"/>
    </row>
    <row r="313" spans="20:30" ht="11.25">
      <c r="T313" s="7"/>
      <c r="U313" s="7"/>
      <c r="V313" s="7"/>
      <c r="W313" s="7"/>
      <c r="X313" s="7"/>
      <c r="Y313" s="7"/>
      <c r="Z313" s="7"/>
      <c r="AA313" s="7"/>
      <c r="AB313" s="7"/>
      <c r="AC313" s="7"/>
      <c r="AD313" s="7"/>
    </row>
    <row r="314" spans="20:30" ht="11.25">
      <c r="T314" s="7"/>
      <c r="U314" s="7"/>
      <c r="V314" s="7"/>
      <c r="W314" s="7"/>
      <c r="X314" s="7"/>
      <c r="Y314" s="7"/>
      <c r="Z314" s="7"/>
      <c r="AA314" s="7"/>
      <c r="AB314" s="7"/>
      <c r="AC314" s="7"/>
      <c r="AD314" s="7"/>
    </row>
    <row r="315" spans="20:30" ht="4.5" customHeight="1">
      <c r="T315" s="7"/>
      <c r="U315" s="7"/>
      <c r="V315" s="7"/>
      <c r="W315" s="7"/>
      <c r="X315" s="7"/>
      <c r="Y315" s="7"/>
      <c r="Z315" s="7"/>
      <c r="AA315" s="7"/>
      <c r="AB315" s="7"/>
      <c r="AC315" s="7"/>
      <c r="AD315" s="7"/>
    </row>
    <row r="316" spans="20:30" ht="11.25">
      <c r="T316" s="7"/>
      <c r="U316" s="7"/>
      <c r="V316" s="7"/>
      <c r="W316" s="7"/>
      <c r="X316" s="7"/>
      <c r="Y316" s="7"/>
      <c r="Z316" s="7"/>
      <c r="AA316" s="7"/>
      <c r="AB316" s="7"/>
      <c r="AC316" s="7"/>
      <c r="AD316" s="7"/>
    </row>
    <row r="317" spans="20:30" ht="11.25">
      <c r="T317" s="7"/>
      <c r="U317" s="7"/>
      <c r="V317" s="7"/>
      <c r="W317" s="7"/>
      <c r="X317" s="7"/>
      <c r="Y317" s="7"/>
      <c r="Z317" s="7"/>
      <c r="AA317" s="7"/>
      <c r="AB317" s="7"/>
      <c r="AC317" s="7"/>
      <c r="AD317" s="7"/>
    </row>
    <row r="318" spans="20:30" ht="11.25">
      <c r="T318" s="7"/>
      <c r="U318" s="7"/>
      <c r="V318" s="7"/>
      <c r="W318" s="7"/>
      <c r="X318" s="7"/>
      <c r="Y318" s="7"/>
      <c r="Z318" s="7"/>
      <c r="AA318" s="7"/>
      <c r="AB318" s="7"/>
      <c r="AC318" s="7"/>
      <c r="AD318" s="7"/>
    </row>
    <row r="319" spans="20:30" ht="4.5" customHeight="1">
      <c r="T319" s="7"/>
      <c r="U319" s="7"/>
      <c r="V319" s="7"/>
      <c r="W319" s="7"/>
      <c r="X319" s="7"/>
      <c r="Y319" s="7"/>
      <c r="Z319" s="7"/>
      <c r="AA319" s="7"/>
      <c r="AB319" s="7"/>
      <c r="AC319" s="7"/>
      <c r="AD319" s="7"/>
    </row>
    <row r="320" spans="20:30" ht="11.25">
      <c r="T320" s="7"/>
      <c r="U320" s="7"/>
      <c r="V320" s="7"/>
      <c r="W320" s="7"/>
      <c r="X320" s="7"/>
      <c r="Y320" s="7"/>
      <c r="Z320" s="7"/>
      <c r="AA320" s="7"/>
      <c r="AB320" s="7"/>
      <c r="AC320" s="7"/>
      <c r="AD320" s="7"/>
    </row>
    <row r="321" spans="20:30" ht="11.25">
      <c r="T321" s="7"/>
      <c r="U321" s="7"/>
      <c r="V321" s="7"/>
      <c r="W321" s="7"/>
      <c r="X321" s="7"/>
      <c r="Y321" s="7"/>
      <c r="Z321" s="7"/>
      <c r="AA321" s="7"/>
      <c r="AB321" s="7"/>
      <c r="AC321" s="7"/>
      <c r="AD321" s="7"/>
    </row>
    <row r="322" spans="20:30" ht="11.25">
      <c r="T322" s="7"/>
      <c r="U322" s="7"/>
      <c r="V322" s="7"/>
      <c r="W322" s="7"/>
      <c r="X322" s="7"/>
      <c r="Y322" s="7"/>
      <c r="Z322" s="7"/>
      <c r="AA322" s="7"/>
      <c r="AB322" s="7"/>
      <c r="AC322" s="7"/>
      <c r="AD322" s="7"/>
    </row>
    <row r="323" spans="20:30" ht="4.5" customHeight="1">
      <c r="T323" s="7"/>
      <c r="U323" s="7"/>
      <c r="V323" s="7"/>
      <c r="W323" s="7"/>
      <c r="X323" s="7"/>
      <c r="Y323" s="7"/>
      <c r="Z323" s="7"/>
      <c r="AA323" s="7"/>
      <c r="AB323" s="7"/>
      <c r="AC323" s="7"/>
      <c r="AD323" s="7"/>
    </row>
    <row r="324" spans="20:30" ht="11.25">
      <c r="T324" s="7"/>
      <c r="U324" s="7"/>
      <c r="V324" s="7"/>
      <c r="W324" s="7"/>
      <c r="X324" s="7"/>
      <c r="Y324" s="7"/>
      <c r="Z324" s="7"/>
      <c r="AA324" s="7"/>
      <c r="AB324" s="7"/>
      <c r="AC324" s="7"/>
      <c r="AD324" s="7"/>
    </row>
    <row r="325" spans="20:30" ht="11.25">
      <c r="T325" s="7"/>
      <c r="U325" s="7"/>
      <c r="V325" s="7"/>
      <c r="W325" s="7"/>
      <c r="X325" s="7"/>
      <c r="Y325" s="7"/>
      <c r="Z325" s="7"/>
      <c r="AA325" s="7"/>
      <c r="AB325" s="7"/>
      <c r="AC325" s="7"/>
      <c r="AD325" s="7"/>
    </row>
    <row r="326" spans="20:30" ht="11.25">
      <c r="T326" s="7"/>
      <c r="U326" s="7"/>
      <c r="V326" s="7"/>
      <c r="W326" s="7"/>
      <c r="X326" s="7"/>
      <c r="Y326" s="7"/>
      <c r="Z326" s="7"/>
      <c r="AA326" s="7"/>
      <c r="AB326" s="7"/>
      <c r="AC326" s="7"/>
      <c r="AD326" s="7"/>
    </row>
    <row r="327" spans="20:30" ht="4.5" customHeight="1">
      <c r="T327" s="7"/>
      <c r="U327" s="7"/>
      <c r="V327" s="7"/>
      <c r="W327" s="7"/>
      <c r="X327" s="7"/>
      <c r="Y327" s="7"/>
      <c r="Z327" s="7"/>
      <c r="AA327" s="7"/>
      <c r="AB327" s="7"/>
      <c r="AC327" s="7"/>
      <c r="AD327" s="7"/>
    </row>
    <row r="328" spans="20:30" ht="11.25">
      <c r="T328" s="7"/>
      <c r="U328" s="7"/>
      <c r="V328" s="7"/>
      <c r="W328" s="7"/>
      <c r="X328" s="7"/>
      <c r="Y328" s="7"/>
      <c r="Z328" s="7"/>
      <c r="AA328" s="7"/>
      <c r="AB328" s="7"/>
      <c r="AC328" s="7"/>
      <c r="AD328" s="7"/>
    </row>
    <row r="329" spans="20:30" ht="11.25">
      <c r="T329" s="7"/>
      <c r="U329" s="7"/>
      <c r="V329" s="7"/>
      <c r="W329" s="7"/>
      <c r="X329" s="7"/>
      <c r="Y329" s="7"/>
      <c r="Z329" s="7"/>
      <c r="AA329" s="7"/>
      <c r="AB329" s="7"/>
      <c r="AC329" s="7"/>
      <c r="AD329" s="7"/>
    </row>
    <row r="330" spans="20:30" ht="11.25">
      <c r="T330" s="7"/>
      <c r="U330" s="7"/>
      <c r="V330" s="7"/>
      <c r="W330" s="7"/>
      <c r="X330" s="7"/>
      <c r="Y330" s="7"/>
      <c r="Z330" s="7"/>
      <c r="AA330" s="7"/>
      <c r="AB330" s="7"/>
      <c r="AC330" s="7"/>
      <c r="AD330" s="7"/>
    </row>
    <row r="331" spans="20:30" ht="4.5" customHeight="1">
      <c r="T331" s="7"/>
      <c r="U331" s="7"/>
      <c r="V331" s="7"/>
      <c r="W331" s="7"/>
      <c r="X331" s="7"/>
      <c r="Y331" s="7"/>
      <c r="Z331" s="7"/>
      <c r="AA331" s="7"/>
      <c r="AB331" s="7"/>
      <c r="AC331" s="7"/>
      <c r="AD331" s="7"/>
    </row>
    <row r="332" spans="20:30" ht="11.25">
      <c r="T332" s="7"/>
      <c r="U332" s="7"/>
      <c r="V332" s="7"/>
      <c r="W332" s="7"/>
      <c r="X332" s="7"/>
      <c r="Y332" s="7"/>
      <c r="Z332" s="7"/>
      <c r="AA332" s="7"/>
      <c r="AB332" s="7"/>
      <c r="AC332" s="7"/>
      <c r="AD332" s="7"/>
    </row>
    <row r="333" spans="20:30" ht="11.25">
      <c r="T333" s="7"/>
      <c r="U333" s="7"/>
      <c r="V333" s="7"/>
      <c r="W333" s="7"/>
      <c r="X333" s="7"/>
      <c r="Y333" s="7"/>
      <c r="Z333" s="7"/>
      <c r="AA333" s="7"/>
      <c r="AB333" s="7"/>
      <c r="AC333" s="7"/>
      <c r="AD333" s="7"/>
    </row>
    <row r="334" spans="20:30" ht="11.25">
      <c r="T334" s="7"/>
      <c r="U334" s="7"/>
      <c r="V334" s="7"/>
      <c r="W334" s="7"/>
      <c r="X334" s="7"/>
      <c r="Y334" s="7"/>
      <c r="Z334" s="7"/>
      <c r="AA334" s="7"/>
      <c r="AB334" s="7"/>
      <c r="AC334" s="7"/>
      <c r="AD334" s="7"/>
    </row>
    <row r="335" spans="20:30" ht="4.5" customHeight="1">
      <c r="T335" s="7"/>
      <c r="U335" s="7"/>
      <c r="V335" s="7"/>
      <c r="W335" s="7"/>
      <c r="X335" s="7"/>
      <c r="Y335" s="7"/>
      <c r="Z335" s="7"/>
      <c r="AA335" s="7"/>
      <c r="AB335" s="7"/>
      <c r="AC335" s="7"/>
      <c r="AD335" s="7"/>
    </row>
    <row r="336" spans="20:30" ht="11.25">
      <c r="T336" s="7"/>
      <c r="U336" s="7"/>
      <c r="V336" s="7"/>
      <c r="W336" s="7"/>
      <c r="X336" s="7"/>
      <c r="Y336" s="7"/>
      <c r="Z336" s="7"/>
      <c r="AA336" s="7"/>
      <c r="AB336" s="7"/>
      <c r="AC336" s="7"/>
      <c r="AD336" s="7"/>
    </row>
    <row r="337" spans="20:30" ht="11.25">
      <c r="T337" s="7"/>
      <c r="U337" s="7"/>
      <c r="V337" s="7"/>
      <c r="W337" s="7"/>
      <c r="X337" s="7"/>
      <c r="Y337" s="7"/>
      <c r="Z337" s="7"/>
      <c r="AA337" s="7"/>
      <c r="AB337" s="7"/>
      <c r="AC337" s="7"/>
      <c r="AD337" s="7"/>
    </row>
    <row r="338" spans="20:30" ht="11.25">
      <c r="T338" s="7"/>
      <c r="U338" s="7"/>
      <c r="V338" s="7"/>
      <c r="W338" s="7"/>
      <c r="X338" s="7"/>
      <c r="Y338" s="7"/>
      <c r="Z338" s="7"/>
      <c r="AA338" s="7"/>
      <c r="AB338" s="7"/>
      <c r="AC338" s="7"/>
      <c r="AD338" s="7"/>
    </row>
    <row r="339" spans="20:30" ht="4.5" customHeight="1">
      <c r="T339" s="7"/>
      <c r="U339" s="7"/>
      <c r="V339" s="7"/>
      <c r="W339" s="7"/>
      <c r="X339" s="7"/>
      <c r="Y339" s="7"/>
      <c r="Z339" s="7"/>
      <c r="AA339" s="7"/>
      <c r="AB339" s="7"/>
      <c r="AC339" s="7"/>
      <c r="AD339" s="7"/>
    </row>
    <row r="340" spans="20:30" ht="11.25">
      <c r="T340" s="7"/>
      <c r="U340" s="7"/>
      <c r="V340" s="7"/>
      <c r="W340" s="7"/>
      <c r="X340" s="7"/>
      <c r="Y340" s="7"/>
      <c r="Z340" s="7"/>
      <c r="AA340" s="7"/>
      <c r="AB340" s="7"/>
      <c r="AC340" s="7"/>
      <c r="AD340" s="7"/>
    </row>
    <row r="341" spans="20:30" ht="11.25">
      <c r="T341" s="7"/>
      <c r="U341" s="7"/>
      <c r="V341" s="7"/>
      <c r="W341" s="7"/>
      <c r="X341" s="7"/>
      <c r="Y341" s="7"/>
      <c r="Z341" s="7"/>
      <c r="AA341" s="7"/>
      <c r="AB341" s="7"/>
      <c r="AC341" s="7"/>
      <c r="AD341" s="7"/>
    </row>
    <row r="342" spans="20:30" ht="11.25">
      <c r="T342" s="7"/>
      <c r="U342" s="7"/>
      <c r="V342" s="7"/>
      <c r="W342" s="7"/>
      <c r="X342" s="7"/>
      <c r="Y342" s="7"/>
      <c r="Z342" s="7"/>
      <c r="AA342" s="7"/>
      <c r="AB342" s="7"/>
      <c r="AC342" s="7"/>
      <c r="AD342" s="7"/>
    </row>
    <row r="343" spans="20:30" ht="4.5" customHeight="1">
      <c r="T343" s="7"/>
      <c r="U343" s="7"/>
      <c r="V343" s="7"/>
      <c r="W343" s="7"/>
      <c r="X343" s="7"/>
      <c r="Y343" s="7"/>
      <c r="Z343" s="7"/>
      <c r="AA343" s="7"/>
      <c r="AB343" s="7"/>
      <c r="AC343" s="7"/>
      <c r="AD343" s="7"/>
    </row>
    <row r="344" spans="20:30" ht="11.25">
      <c r="T344" s="7"/>
      <c r="U344" s="7"/>
      <c r="V344" s="7"/>
      <c r="W344" s="7"/>
      <c r="X344" s="7"/>
      <c r="Y344" s="7"/>
      <c r="Z344" s="7"/>
      <c r="AA344" s="7"/>
      <c r="AB344" s="7"/>
      <c r="AC344" s="7"/>
      <c r="AD344" s="7"/>
    </row>
    <row r="345" spans="20:30" ht="11.25">
      <c r="T345" s="7"/>
      <c r="U345" s="7"/>
      <c r="V345" s="7"/>
      <c r="W345" s="7"/>
      <c r="X345" s="7"/>
      <c r="Y345" s="7"/>
      <c r="Z345" s="7"/>
      <c r="AA345" s="7"/>
      <c r="AB345" s="7"/>
      <c r="AC345" s="7"/>
      <c r="AD345" s="7"/>
    </row>
    <row r="346" spans="20:30" ht="11.25">
      <c r="T346" s="7"/>
      <c r="U346" s="7"/>
      <c r="V346" s="7"/>
      <c r="W346" s="7"/>
      <c r="X346" s="7"/>
      <c r="Y346" s="7"/>
      <c r="Z346" s="7"/>
      <c r="AA346" s="7"/>
      <c r="AB346" s="7"/>
      <c r="AC346" s="7"/>
      <c r="AD346" s="7"/>
    </row>
    <row r="347" spans="20:30" ht="4.5" customHeight="1">
      <c r="T347" s="7"/>
      <c r="U347" s="7"/>
      <c r="V347" s="7"/>
      <c r="W347" s="7"/>
      <c r="X347" s="7"/>
      <c r="Y347" s="7"/>
      <c r="Z347" s="7"/>
      <c r="AA347" s="7"/>
      <c r="AB347" s="7"/>
      <c r="AC347" s="7"/>
      <c r="AD347" s="7"/>
    </row>
    <row r="348" spans="20:30" ht="11.25">
      <c r="T348" s="7"/>
      <c r="U348" s="7"/>
      <c r="V348" s="7"/>
      <c r="W348" s="7"/>
      <c r="X348" s="7"/>
      <c r="Y348" s="7"/>
      <c r="Z348" s="7"/>
      <c r="AA348" s="7"/>
      <c r="AB348" s="7"/>
      <c r="AC348" s="7"/>
      <c r="AD348" s="7"/>
    </row>
    <row r="349" spans="20:30" ht="11.25">
      <c r="T349" s="7"/>
      <c r="U349" s="7"/>
      <c r="V349" s="7"/>
      <c r="W349" s="7"/>
      <c r="X349" s="7"/>
      <c r="Y349" s="7"/>
      <c r="Z349" s="7"/>
      <c r="AA349" s="7"/>
      <c r="AB349" s="7"/>
      <c r="AC349" s="7"/>
      <c r="AD349" s="7"/>
    </row>
    <row r="350" spans="20:30" ht="11.25">
      <c r="T350" s="7"/>
      <c r="U350" s="7"/>
      <c r="V350" s="7"/>
      <c r="W350" s="7"/>
      <c r="X350" s="7"/>
      <c r="Y350" s="7"/>
      <c r="Z350" s="7"/>
      <c r="AA350" s="7"/>
      <c r="AB350" s="7"/>
      <c r="AC350" s="7"/>
      <c r="AD350" s="7"/>
    </row>
    <row r="351" spans="20:30" ht="4.5" customHeight="1">
      <c r="T351" s="7"/>
      <c r="U351" s="7"/>
      <c r="V351" s="7"/>
      <c r="W351" s="7"/>
      <c r="X351" s="7"/>
      <c r="Y351" s="7"/>
      <c r="Z351" s="7"/>
      <c r="AA351" s="7"/>
      <c r="AB351" s="7"/>
      <c r="AC351" s="7"/>
      <c r="AD351" s="7"/>
    </row>
    <row r="352" spans="20:30" ht="11.25">
      <c r="T352" s="7"/>
      <c r="U352" s="7"/>
      <c r="V352" s="7"/>
      <c r="W352" s="7"/>
      <c r="X352" s="7"/>
      <c r="Y352" s="7"/>
      <c r="Z352" s="7"/>
      <c r="AA352" s="7"/>
      <c r="AB352" s="7"/>
      <c r="AC352" s="7"/>
      <c r="AD352" s="7"/>
    </row>
    <row r="353" spans="20:30" ht="11.25">
      <c r="T353" s="7"/>
      <c r="U353" s="7"/>
      <c r="V353" s="7"/>
      <c r="W353" s="7"/>
      <c r="X353" s="7"/>
      <c r="Y353" s="7"/>
      <c r="Z353" s="7"/>
      <c r="AA353" s="7"/>
      <c r="AB353" s="7"/>
      <c r="AC353" s="7"/>
      <c r="AD353" s="7"/>
    </row>
    <row r="354" spans="20:30" ht="11.25">
      <c r="T354" s="7"/>
      <c r="U354" s="7"/>
      <c r="V354" s="7"/>
      <c r="W354" s="7"/>
      <c r="X354" s="7"/>
      <c r="Y354" s="7"/>
      <c r="Z354" s="7"/>
      <c r="AA354" s="7"/>
      <c r="AB354" s="7"/>
      <c r="AC354" s="7"/>
      <c r="AD354" s="7"/>
    </row>
    <row r="355" spans="20:30" ht="4.5" customHeight="1">
      <c r="T355" s="7"/>
      <c r="U355" s="7"/>
      <c r="V355" s="7"/>
      <c r="W355" s="7"/>
      <c r="X355" s="7"/>
      <c r="Y355" s="7"/>
      <c r="Z355" s="7"/>
      <c r="AA355" s="7"/>
      <c r="AB355" s="7"/>
      <c r="AC355" s="7"/>
      <c r="AD355" s="7"/>
    </row>
    <row r="356" spans="20:30" ht="11.25">
      <c r="T356" s="7"/>
      <c r="U356" s="7"/>
      <c r="V356" s="7"/>
      <c r="W356" s="7"/>
      <c r="X356" s="7"/>
      <c r="Y356" s="7"/>
      <c r="Z356" s="7"/>
      <c r="AA356" s="7"/>
      <c r="AB356" s="7"/>
      <c r="AC356" s="7"/>
      <c r="AD356" s="7"/>
    </row>
    <row r="357" spans="20:30" ht="11.25">
      <c r="T357" s="7"/>
      <c r="U357" s="7"/>
      <c r="V357" s="7"/>
      <c r="W357" s="7"/>
      <c r="X357" s="7"/>
      <c r="Y357" s="7"/>
      <c r="Z357" s="7"/>
      <c r="AA357" s="7"/>
      <c r="AB357" s="7"/>
      <c r="AC357" s="7"/>
      <c r="AD357" s="7"/>
    </row>
    <row r="358" spans="20:30" ht="11.25">
      <c r="T358" s="7"/>
      <c r="U358" s="7"/>
      <c r="V358" s="7"/>
      <c r="W358" s="7"/>
      <c r="X358" s="7"/>
      <c r="Y358" s="7"/>
      <c r="Z358" s="7"/>
      <c r="AA358" s="7"/>
      <c r="AB358" s="7"/>
      <c r="AC358" s="7"/>
      <c r="AD358" s="7"/>
    </row>
    <row r="359" spans="20:30" ht="4.5" customHeight="1">
      <c r="T359" s="7"/>
      <c r="U359" s="7"/>
      <c r="V359" s="7"/>
      <c r="W359" s="7"/>
      <c r="X359" s="7"/>
      <c r="Y359" s="7"/>
      <c r="Z359" s="7"/>
      <c r="AA359" s="7"/>
      <c r="AB359" s="7"/>
      <c r="AC359" s="7"/>
      <c r="AD359" s="7"/>
    </row>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c r="V387" s="3"/>
    </row>
    <row r="388" ht="15" customHeight="1">
      <c r="V388" s="3"/>
    </row>
    <row r="389" ht="15" customHeight="1"/>
    <row r="390" ht="15" customHeight="1"/>
    <row r="391" ht="15" customHeight="1"/>
    <row r="392" ht="15" customHeight="1"/>
    <row r="393" ht="15" customHeight="1"/>
    <row r="394" ht="15" customHeight="1">
      <c r="V394" s="3"/>
    </row>
    <row r="395" ht="15" customHeight="1">
      <c r="V395" s="3"/>
    </row>
    <row r="396" ht="15" customHeight="1"/>
    <row r="397" ht="15" customHeight="1"/>
    <row r="398" ht="15" customHeight="1"/>
    <row r="399" ht="15" customHeight="1"/>
    <row r="400" ht="15" customHeight="1"/>
    <row r="401" ht="15" customHeight="1"/>
    <row r="402" ht="15" customHeight="1"/>
    <row r="403" ht="15" customHeight="1">
      <c r="V403" s="3"/>
    </row>
    <row r="404" ht="15" customHeight="1">
      <c r="V404" s="3"/>
    </row>
    <row r="405" ht="15" customHeight="1"/>
    <row r="406" ht="15" customHeight="1"/>
    <row r="407" ht="15" customHeight="1"/>
    <row r="408" ht="15" customHeight="1"/>
    <row r="409" ht="15" customHeight="1"/>
    <row r="410" ht="15" customHeight="1"/>
    <row r="411" spans="20:24" ht="15" customHeight="1">
      <c r="T411" s="3">
        <v>1</v>
      </c>
      <c r="U411" s="3">
        <v>5</v>
      </c>
      <c r="V411" s="18">
        <v>8</v>
      </c>
      <c r="W411" s="18">
        <v>13</v>
      </c>
      <c r="X411" s="18">
        <v>16</v>
      </c>
    </row>
    <row r="412" spans="20:24" ht="15" customHeight="1">
      <c r="T412" s="3" t="s">
        <v>158</v>
      </c>
      <c r="U412" s="3" t="s">
        <v>159</v>
      </c>
      <c r="V412" s="18" t="s">
        <v>160</v>
      </c>
      <c r="W412" s="18" t="s">
        <v>161</v>
      </c>
      <c r="X412" s="18" t="s">
        <v>162</v>
      </c>
    </row>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3.5" customHeight="1" hidden="1"/>
    <row r="467" ht="0.75" customHeight="1" hidden="1">
      <c r="E467" s="6"/>
    </row>
    <row r="468" spans="1:28" s="7" customFormat="1" ht="0.75" customHeight="1" hidden="1">
      <c r="A468" s="24" t="s">
        <v>163</v>
      </c>
      <c r="B468" s="19">
        <v>0</v>
      </c>
      <c r="C468" s="19">
        <v>12</v>
      </c>
      <c r="D468" s="19">
        <v>13</v>
      </c>
      <c r="E468" s="32">
        <v>14</v>
      </c>
      <c r="F468" s="32">
        <v>15</v>
      </c>
      <c r="G468" s="32">
        <v>16</v>
      </c>
      <c r="H468" s="32">
        <v>17</v>
      </c>
      <c r="I468" s="32">
        <v>18</v>
      </c>
      <c r="J468" s="19">
        <v>19</v>
      </c>
      <c r="K468" s="19">
        <v>20</v>
      </c>
      <c r="L468" s="19">
        <v>21</v>
      </c>
      <c r="M468" s="19">
        <v>22</v>
      </c>
      <c r="N468" s="19">
        <v>23</v>
      </c>
      <c r="O468" s="19"/>
      <c r="P468" s="19">
        <v>24</v>
      </c>
      <c r="Q468" s="19">
        <v>25</v>
      </c>
      <c r="R468" s="19">
        <v>26</v>
      </c>
      <c r="S468" s="19">
        <v>27</v>
      </c>
      <c r="T468" s="19">
        <v>28</v>
      </c>
      <c r="U468" s="19">
        <v>31</v>
      </c>
      <c r="V468" s="13">
        <v>34</v>
      </c>
      <c r="W468" s="13"/>
      <c r="X468" s="13"/>
      <c r="Y468" s="13"/>
      <c r="AB468" s="13"/>
    </row>
    <row r="469" spans="1:28" s="7" customFormat="1" ht="15" customHeight="1" hidden="1">
      <c r="A469" s="24" t="s">
        <v>164</v>
      </c>
      <c r="B469" s="19">
        <v>50</v>
      </c>
      <c r="C469" s="19">
        <v>35</v>
      </c>
      <c r="D469" s="19">
        <v>31</v>
      </c>
      <c r="E469" s="19">
        <v>28</v>
      </c>
      <c r="F469" s="19">
        <v>24</v>
      </c>
      <c r="G469" s="19">
        <v>22</v>
      </c>
      <c r="H469" s="19">
        <v>19</v>
      </c>
      <c r="I469" s="19">
        <v>17</v>
      </c>
      <c r="J469" s="19">
        <v>15</v>
      </c>
      <c r="K469" s="19">
        <v>12</v>
      </c>
      <c r="L469" s="19">
        <v>11</v>
      </c>
      <c r="M469" s="19">
        <v>9</v>
      </c>
      <c r="N469" s="19">
        <v>8</v>
      </c>
      <c r="O469" s="19"/>
      <c r="P469" s="19">
        <v>6</v>
      </c>
      <c r="Q469" s="19">
        <v>5</v>
      </c>
      <c r="R469" s="19">
        <v>4</v>
      </c>
      <c r="S469" s="19">
        <v>3</v>
      </c>
      <c r="T469" s="19">
        <v>2</v>
      </c>
      <c r="U469" s="19">
        <v>1</v>
      </c>
      <c r="V469" s="13">
        <v>0.5</v>
      </c>
      <c r="W469" s="13"/>
      <c r="X469" s="13"/>
      <c r="Y469" s="13"/>
      <c r="AB469" s="13"/>
    </row>
    <row r="470" spans="1:28" s="7" customFormat="1" ht="15" customHeight="1" hidden="1">
      <c r="A470" s="24" t="s">
        <v>157</v>
      </c>
      <c r="B470" s="19">
        <v>1</v>
      </c>
      <c r="C470" s="19">
        <v>2</v>
      </c>
      <c r="D470" s="19">
        <v>3</v>
      </c>
      <c r="E470" s="19">
        <v>4</v>
      </c>
      <c r="F470" s="19">
        <v>5</v>
      </c>
      <c r="G470" s="19">
        <v>6</v>
      </c>
      <c r="H470" s="19">
        <v>7</v>
      </c>
      <c r="I470" s="19">
        <v>8</v>
      </c>
      <c r="J470" s="19">
        <v>9</v>
      </c>
      <c r="K470" s="19">
        <v>10</v>
      </c>
      <c r="L470" s="19">
        <v>11</v>
      </c>
      <c r="M470" s="19">
        <v>12</v>
      </c>
      <c r="N470" s="19">
        <v>13</v>
      </c>
      <c r="O470" s="19"/>
      <c r="P470" s="19">
        <v>14</v>
      </c>
      <c r="Q470" s="19">
        <v>15</v>
      </c>
      <c r="R470" s="19">
        <v>16</v>
      </c>
      <c r="S470" s="19">
        <v>17</v>
      </c>
      <c r="T470" s="19">
        <v>18</v>
      </c>
      <c r="U470" s="19">
        <v>19</v>
      </c>
      <c r="V470" s="13">
        <f>(P1)</f>
        <v>0</v>
      </c>
      <c r="W470" s="13"/>
      <c r="X470" s="13"/>
      <c r="Y470" s="13"/>
      <c r="AB470" s="13"/>
    </row>
    <row r="471" spans="1:28" s="7" customFormat="1" ht="15" customHeight="1" hidden="1">
      <c r="A471" s="24" t="s">
        <v>164</v>
      </c>
      <c r="B471" s="19">
        <v>0.1</v>
      </c>
      <c r="C471" s="19">
        <v>0.4</v>
      </c>
      <c r="D471" s="19">
        <v>1</v>
      </c>
      <c r="E471" s="19">
        <v>2</v>
      </c>
      <c r="F471" s="19">
        <v>5</v>
      </c>
      <c r="G471" s="19">
        <v>9</v>
      </c>
      <c r="H471" s="19">
        <v>16</v>
      </c>
      <c r="I471" s="19">
        <v>25</v>
      </c>
      <c r="J471" s="19">
        <v>37</v>
      </c>
      <c r="K471" s="19">
        <v>50</v>
      </c>
      <c r="L471" s="19">
        <v>63</v>
      </c>
      <c r="M471" s="19">
        <v>75</v>
      </c>
      <c r="N471" s="19">
        <v>84</v>
      </c>
      <c r="O471" s="19"/>
      <c r="P471" s="19">
        <v>91</v>
      </c>
      <c r="Q471" s="19">
        <v>95</v>
      </c>
      <c r="R471" s="19">
        <v>98</v>
      </c>
      <c r="S471" s="19">
        <v>99</v>
      </c>
      <c r="T471" s="19">
        <v>99.599999999999</v>
      </c>
      <c r="U471" s="19">
        <v>99.9</v>
      </c>
      <c r="V471" s="13"/>
      <c r="W471" s="13"/>
      <c r="X471" s="13"/>
      <c r="Y471" s="13"/>
      <c r="AB471" s="13"/>
    </row>
    <row r="472" spans="1:92" s="7" customFormat="1" ht="15" customHeight="1" hidden="1">
      <c r="A472" s="24" t="s">
        <v>165</v>
      </c>
      <c r="B472" s="19">
        <v>6</v>
      </c>
      <c r="C472" s="19">
        <v>7</v>
      </c>
      <c r="D472" s="19">
        <v>8</v>
      </c>
      <c r="E472" s="19">
        <v>9</v>
      </c>
      <c r="F472" s="19">
        <v>10</v>
      </c>
      <c r="G472" s="19">
        <v>11</v>
      </c>
      <c r="H472" s="19">
        <v>12</v>
      </c>
      <c r="I472" s="19">
        <v>13</v>
      </c>
      <c r="J472" s="19">
        <v>14</v>
      </c>
      <c r="K472" s="19">
        <v>15</v>
      </c>
      <c r="L472" s="19">
        <v>16</v>
      </c>
      <c r="M472" s="19">
        <v>17</v>
      </c>
      <c r="N472" s="19">
        <v>18</v>
      </c>
      <c r="O472" s="19"/>
      <c r="P472" s="19">
        <v>19</v>
      </c>
      <c r="Q472" s="19">
        <v>20</v>
      </c>
      <c r="R472" s="19">
        <v>21</v>
      </c>
      <c r="S472" s="19">
        <v>22</v>
      </c>
      <c r="T472" s="19">
        <v>23</v>
      </c>
      <c r="U472" s="19">
        <v>24</v>
      </c>
      <c r="V472" s="13">
        <v>25</v>
      </c>
      <c r="W472" s="13">
        <v>26</v>
      </c>
      <c r="X472" s="13">
        <v>27</v>
      </c>
      <c r="Y472" s="13">
        <v>28</v>
      </c>
      <c r="Z472" s="19">
        <v>29</v>
      </c>
      <c r="AA472" s="19">
        <v>30</v>
      </c>
      <c r="AB472" s="13">
        <v>31</v>
      </c>
      <c r="AC472" s="19">
        <v>32</v>
      </c>
      <c r="AD472" s="19">
        <v>33</v>
      </c>
      <c r="AE472" s="19">
        <v>34</v>
      </c>
      <c r="AF472" s="19">
        <v>35</v>
      </c>
      <c r="AG472" s="19">
        <v>36</v>
      </c>
      <c r="AH472" s="19">
        <v>37</v>
      </c>
      <c r="AI472" s="19">
        <v>38</v>
      </c>
      <c r="AJ472" s="19">
        <v>39</v>
      </c>
      <c r="AK472" s="19">
        <v>40</v>
      </c>
      <c r="AL472" s="19">
        <v>41</v>
      </c>
      <c r="AM472" s="19">
        <v>42</v>
      </c>
      <c r="AN472" s="19">
        <v>43</v>
      </c>
      <c r="AO472" s="19">
        <v>44</v>
      </c>
      <c r="AP472" s="19">
        <v>45</v>
      </c>
      <c r="AQ472" s="19">
        <v>46</v>
      </c>
      <c r="AR472" s="19">
        <v>47</v>
      </c>
      <c r="AS472" s="19">
        <v>48</v>
      </c>
      <c r="AT472" s="19">
        <v>49</v>
      </c>
      <c r="AU472" s="19">
        <v>50</v>
      </c>
      <c r="AV472" s="19">
        <v>51</v>
      </c>
      <c r="AW472" s="19">
        <v>52</v>
      </c>
      <c r="AX472" s="19">
        <v>53</v>
      </c>
      <c r="AY472" s="19">
        <v>54</v>
      </c>
      <c r="AZ472" s="19">
        <v>55</v>
      </c>
      <c r="BA472" s="19">
        <v>56</v>
      </c>
      <c r="BB472" s="19">
        <v>57</v>
      </c>
      <c r="BC472" s="19">
        <v>58</v>
      </c>
      <c r="BD472" s="19">
        <v>59</v>
      </c>
      <c r="BE472" s="19">
        <v>60</v>
      </c>
      <c r="BF472" s="19">
        <v>61</v>
      </c>
      <c r="BG472" s="19">
        <v>62</v>
      </c>
      <c r="BH472" s="19">
        <v>63</v>
      </c>
      <c r="BI472" s="19">
        <v>64</v>
      </c>
      <c r="BJ472" s="19">
        <v>65</v>
      </c>
      <c r="BK472" s="19">
        <v>66</v>
      </c>
      <c r="BL472" s="19">
        <v>67</v>
      </c>
      <c r="BM472" s="19">
        <v>68</v>
      </c>
      <c r="BN472" s="19">
        <v>69</v>
      </c>
      <c r="BO472" s="19">
        <v>70</v>
      </c>
      <c r="BP472" s="19">
        <v>71</v>
      </c>
      <c r="BQ472" s="19">
        <v>72</v>
      </c>
      <c r="BR472" s="19">
        <v>73</v>
      </c>
      <c r="BS472" s="19">
        <v>74</v>
      </c>
      <c r="BT472" s="19">
        <v>75</v>
      </c>
      <c r="BU472" s="19">
        <v>76</v>
      </c>
      <c r="BV472" s="19">
        <v>77</v>
      </c>
      <c r="BW472" s="19">
        <v>78</v>
      </c>
      <c r="BX472" s="19">
        <v>79</v>
      </c>
      <c r="BY472" s="19">
        <v>80</v>
      </c>
      <c r="BZ472" s="19">
        <v>81</v>
      </c>
      <c r="CA472" s="19">
        <v>82</v>
      </c>
      <c r="CB472" s="19">
        <v>83</v>
      </c>
      <c r="CC472" s="19">
        <v>84</v>
      </c>
      <c r="CD472" s="19">
        <v>85</v>
      </c>
      <c r="CE472" s="19">
        <v>86</v>
      </c>
      <c r="CF472" s="19">
        <v>87</v>
      </c>
      <c r="CG472" s="19">
        <v>88</v>
      </c>
      <c r="CH472" s="19">
        <v>89</v>
      </c>
      <c r="CI472" s="19">
        <v>90</v>
      </c>
      <c r="CJ472" s="19">
        <v>91</v>
      </c>
      <c r="CK472" s="19">
        <v>92</v>
      </c>
      <c r="CL472" s="19">
        <v>93</v>
      </c>
      <c r="CM472" s="19">
        <v>94</v>
      </c>
      <c r="CN472" s="7">
        <v>95</v>
      </c>
    </row>
    <row r="473" spans="1:92" s="7" customFormat="1" ht="15" customHeight="1" hidden="1">
      <c r="A473" s="24" t="s">
        <v>166</v>
      </c>
      <c r="B473" s="19">
        <v>48</v>
      </c>
      <c r="C473" s="19">
        <v>50</v>
      </c>
      <c r="D473" s="19">
        <v>52</v>
      </c>
      <c r="E473" s="19">
        <v>54</v>
      </c>
      <c r="F473" s="19">
        <v>55</v>
      </c>
      <c r="G473" s="19">
        <v>56</v>
      </c>
      <c r="H473" s="19">
        <v>57</v>
      </c>
      <c r="I473" s="19">
        <v>58</v>
      </c>
      <c r="J473" s="19">
        <v>59</v>
      </c>
      <c r="K473" s="19">
        <v>60</v>
      </c>
      <c r="L473" s="19">
        <v>62</v>
      </c>
      <c r="M473" s="19">
        <v>63</v>
      </c>
      <c r="N473" s="19">
        <v>64</v>
      </c>
      <c r="O473" s="19"/>
      <c r="P473" s="19">
        <v>65</v>
      </c>
      <c r="Q473" s="19">
        <v>66</v>
      </c>
      <c r="R473" s="19">
        <v>67</v>
      </c>
      <c r="S473" s="19">
        <v>69</v>
      </c>
      <c r="T473" s="19">
        <v>70</v>
      </c>
      <c r="U473" s="19">
        <v>71</v>
      </c>
      <c r="V473" s="13">
        <v>72</v>
      </c>
      <c r="W473" s="13">
        <v>73</v>
      </c>
      <c r="X473" s="13">
        <v>74</v>
      </c>
      <c r="Y473" s="13">
        <v>75</v>
      </c>
      <c r="Z473" s="19">
        <v>76</v>
      </c>
      <c r="AA473" s="19">
        <v>78</v>
      </c>
      <c r="AB473" s="13">
        <v>79</v>
      </c>
      <c r="AC473" s="19">
        <v>80</v>
      </c>
      <c r="AD473" s="19">
        <v>81</v>
      </c>
      <c r="AE473" s="19">
        <v>82</v>
      </c>
      <c r="AF473" s="19">
        <v>83</v>
      </c>
      <c r="AG473" s="19">
        <v>84</v>
      </c>
      <c r="AH473" s="19">
        <v>85</v>
      </c>
      <c r="AI473" s="19">
        <v>87</v>
      </c>
      <c r="AJ473" s="19">
        <v>88</v>
      </c>
      <c r="AK473" s="19">
        <v>89</v>
      </c>
      <c r="AL473" s="19">
        <v>90</v>
      </c>
      <c r="AM473" s="19">
        <v>91</v>
      </c>
      <c r="AN473" s="19">
        <v>92</v>
      </c>
      <c r="AO473" s="19">
        <v>93</v>
      </c>
      <c r="AP473" s="19">
        <v>94</v>
      </c>
      <c r="AQ473" s="19">
        <v>95</v>
      </c>
      <c r="AR473" s="19">
        <v>97</v>
      </c>
      <c r="AS473" s="19">
        <v>98</v>
      </c>
      <c r="AT473" s="19">
        <v>99</v>
      </c>
      <c r="AU473" s="19">
        <v>100</v>
      </c>
      <c r="AV473" s="19">
        <v>101</v>
      </c>
      <c r="AW473" s="19">
        <v>102</v>
      </c>
      <c r="AX473" s="19">
        <v>104</v>
      </c>
      <c r="AY473" s="19">
        <v>105</v>
      </c>
      <c r="AZ473" s="19">
        <v>106</v>
      </c>
      <c r="BA473" s="19">
        <v>107</v>
      </c>
      <c r="BB473" s="19">
        <v>108</v>
      </c>
      <c r="BC473" s="19">
        <v>110</v>
      </c>
      <c r="BD473" s="19">
        <v>111</v>
      </c>
      <c r="BE473" s="19">
        <v>112</v>
      </c>
      <c r="BF473" s="19">
        <v>113</v>
      </c>
      <c r="BG473" s="19">
        <v>114</v>
      </c>
      <c r="BH473" s="19">
        <v>115</v>
      </c>
      <c r="BI473" s="19">
        <v>117</v>
      </c>
      <c r="BJ473" s="19">
        <v>118</v>
      </c>
      <c r="BK473" s="19">
        <v>119</v>
      </c>
      <c r="BL473" s="19">
        <v>121</v>
      </c>
      <c r="BM473" s="19">
        <v>122</v>
      </c>
      <c r="BN473" s="19">
        <v>123</v>
      </c>
      <c r="BO473" s="19">
        <v>124</v>
      </c>
      <c r="BP473" s="19">
        <v>125</v>
      </c>
      <c r="BQ473" s="19">
        <v>126</v>
      </c>
      <c r="BR473" s="19">
        <v>127</v>
      </c>
      <c r="BS473" s="19">
        <v>128</v>
      </c>
      <c r="BT473" s="19">
        <v>129</v>
      </c>
      <c r="BU473" s="19">
        <v>131</v>
      </c>
      <c r="BV473" s="19">
        <v>132</v>
      </c>
      <c r="BW473" s="19">
        <v>133</v>
      </c>
      <c r="BX473" s="19">
        <v>134</v>
      </c>
      <c r="BY473" s="19">
        <v>135</v>
      </c>
      <c r="BZ473" s="19">
        <v>137</v>
      </c>
      <c r="CA473" s="19">
        <v>138</v>
      </c>
      <c r="CB473" s="19">
        <v>139</v>
      </c>
      <c r="CC473" s="19">
        <v>140</v>
      </c>
      <c r="CD473" s="19">
        <v>141</v>
      </c>
      <c r="CE473" s="19">
        <v>142</v>
      </c>
      <c r="CF473" s="19">
        <v>144</v>
      </c>
      <c r="CG473" s="19">
        <v>145</v>
      </c>
      <c r="CH473" s="19">
        <v>146</v>
      </c>
      <c r="CI473" s="19">
        <v>147</v>
      </c>
      <c r="CJ473" s="19">
        <v>148</v>
      </c>
      <c r="CK473" s="19">
        <v>150</v>
      </c>
      <c r="CL473" s="19">
        <v>151</v>
      </c>
      <c r="CM473" s="19">
        <v>153</v>
      </c>
      <c r="CN473" s="7">
        <v>155</v>
      </c>
    </row>
    <row r="474" spans="1:84" s="7" customFormat="1" ht="15" customHeight="1" hidden="1">
      <c r="A474" s="24" t="s">
        <v>167</v>
      </c>
      <c r="B474" s="19">
        <v>9</v>
      </c>
      <c r="C474" s="19">
        <v>10</v>
      </c>
      <c r="D474" s="19">
        <v>11</v>
      </c>
      <c r="E474" s="19">
        <v>12</v>
      </c>
      <c r="F474" s="19">
        <v>13</v>
      </c>
      <c r="G474" s="19">
        <v>14</v>
      </c>
      <c r="H474" s="19">
        <v>15</v>
      </c>
      <c r="I474" s="19">
        <v>16</v>
      </c>
      <c r="J474" s="19">
        <v>17</v>
      </c>
      <c r="K474" s="19">
        <v>18</v>
      </c>
      <c r="L474" s="19">
        <v>19</v>
      </c>
      <c r="M474" s="19">
        <v>20</v>
      </c>
      <c r="N474" s="19">
        <v>21</v>
      </c>
      <c r="O474" s="19"/>
      <c r="P474" s="19">
        <v>22</v>
      </c>
      <c r="Q474" s="19">
        <v>23</v>
      </c>
      <c r="R474" s="19">
        <v>24</v>
      </c>
      <c r="S474" s="19">
        <v>25</v>
      </c>
      <c r="T474" s="19">
        <v>26</v>
      </c>
      <c r="U474" s="19">
        <v>27</v>
      </c>
      <c r="V474" s="13">
        <v>28</v>
      </c>
      <c r="W474" s="13">
        <v>29</v>
      </c>
      <c r="X474" s="13">
        <v>30</v>
      </c>
      <c r="Y474" s="13">
        <v>31</v>
      </c>
      <c r="Z474" s="19">
        <v>32</v>
      </c>
      <c r="AA474" s="19">
        <v>33</v>
      </c>
      <c r="AB474" s="13">
        <v>34</v>
      </c>
      <c r="AC474" s="19">
        <v>35</v>
      </c>
      <c r="AD474" s="19">
        <v>36</v>
      </c>
      <c r="AE474" s="19">
        <v>37</v>
      </c>
      <c r="AF474" s="19">
        <v>38</v>
      </c>
      <c r="AG474" s="19">
        <v>39</v>
      </c>
      <c r="AH474" s="19">
        <v>40</v>
      </c>
      <c r="AI474" s="19">
        <v>41</v>
      </c>
      <c r="AJ474" s="19">
        <v>42</v>
      </c>
      <c r="AK474" s="19">
        <v>43</v>
      </c>
      <c r="AL474" s="19">
        <v>44</v>
      </c>
      <c r="AM474" s="19">
        <v>45</v>
      </c>
      <c r="AN474" s="19">
        <v>46</v>
      </c>
      <c r="AO474" s="19">
        <v>47</v>
      </c>
      <c r="AP474" s="19">
        <v>48</v>
      </c>
      <c r="AQ474" s="19">
        <v>49</v>
      </c>
      <c r="AR474" s="19">
        <v>50</v>
      </c>
      <c r="AS474" s="19">
        <v>51</v>
      </c>
      <c r="AT474" s="19">
        <v>52</v>
      </c>
      <c r="AU474" s="19">
        <v>53</v>
      </c>
      <c r="AV474" s="19">
        <v>54</v>
      </c>
      <c r="AW474" s="19">
        <v>55</v>
      </c>
      <c r="AX474" s="19">
        <v>56</v>
      </c>
      <c r="AY474" s="19">
        <v>57</v>
      </c>
      <c r="AZ474" s="19">
        <v>58</v>
      </c>
      <c r="BA474" s="19">
        <v>59</v>
      </c>
      <c r="BB474" s="19">
        <v>60</v>
      </c>
      <c r="BC474" s="19">
        <v>61</v>
      </c>
      <c r="BD474" s="19">
        <v>62</v>
      </c>
      <c r="BE474" s="19">
        <v>63</v>
      </c>
      <c r="BF474" s="19">
        <v>64</v>
      </c>
      <c r="BG474" s="19">
        <v>65</v>
      </c>
      <c r="BH474" s="19">
        <v>66</v>
      </c>
      <c r="BI474" s="19">
        <v>67</v>
      </c>
      <c r="BJ474" s="19">
        <v>68</v>
      </c>
      <c r="BK474" s="19">
        <v>69</v>
      </c>
      <c r="BL474" s="19">
        <v>70</v>
      </c>
      <c r="BM474" s="19">
        <v>71</v>
      </c>
      <c r="BN474" s="19">
        <v>72</v>
      </c>
      <c r="BO474" s="19">
        <v>73</v>
      </c>
      <c r="BP474" s="19">
        <v>74</v>
      </c>
      <c r="BQ474" s="19">
        <v>75</v>
      </c>
      <c r="BR474" s="19">
        <v>76</v>
      </c>
      <c r="BS474" s="19">
        <v>77</v>
      </c>
      <c r="BT474" s="19">
        <v>78</v>
      </c>
      <c r="BU474" s="19">
        <v>79</v>
      </c>
      <c r="BV474" s="19">
        <v>80</v>
      </c>
      <c r="BW474" s="19">
        <v>81</v>
      </c>
      <c r="BX474" s="19">
        <v>82</v>
      </c>
      <c r="BY474" s="19">
        <v>83</v>
      </c>
      <c r="BZ474" s="19">
        <v>84</v>
      </c>
      <c r="CA474" s="19">
        <v>85</v>
      </c>
      <c r="CB474" s="19">
        <v>86</v>
      </c>
      <c r="CC474" s="19">
        <v>87</v>
      </c>
      <c r="CD474" s="19">
        <v>88</v>
      </c>
      <c r="CE474" s="19">
        <v>89</v>
      </c>
      <c r="CF474" s="19">
        <v>90</v>
      </c>
    </row>
    <row r="475" spans="1:87" s="7" customFormat="1" ht="15" customHeight="1" hidden="1">
      <c r="A475" s="24" t="s">
        <v>168</v>
      </c>
      <c r="B475" s="19">
        <v>50</v>
      </c>
      <c r="C475" s="19">
        <v>52</v>
      </c>
      <c r="D475" s="19">
        <v>53</v>
      </c>
      <c r="E475" s="19">
        <v>54</v>
      </c>
      <c r="F475" s="19">
        <v>55</v>
      </c>
      <c r="G475" s="19">
        <v>57</v>
      </c>
      <c r="H475" s="19">
        <v>58</v>
      </c>
      <c r="I475" s="19">
        <v>59</v>
      </c>
      <c r="J475" s="19">
        <v>60</v>
      </c>
      <c r="K475" s="19">
        <v>62</v>
      </c>
      <c r="L475" s="19">
        <v>63</v>
      </c>
      <c r="M475" s="19">
        <v>64</v>
      </c>
      <c r="N475" s="19">
        <v>65</v>
      </c>
      <c r="O475" s="19"/>
      <c r="P475" s="19">
        <v>66</v>
      </c>
      <c r="Q475" s="19">
        <v>68</v>
      </c>
      <c r="R475" s="19">
        <v>69</v>
      </c>
      <c r="S475" s="19">
        <v>70</v>
      </c>
      <c r="T475" s="19">
        <v>71</v>
      </c>
      <c r="U475" s="19">
        <v>72</v>
      </c>
      <c r="V475" s="13">
        <v>73</v>
      </c>
      <c r="W475" s="13">
        <v>74</v>
      </c>
      <c r="X475" s="13">
        <v>75</v>
      </c>
      <c r="Y475" s="13">
        <v>77</v>
      </c>
      <c r="Z475" s="19">
        <v>78</v>
      </c>
      <c r="AA475" s="19">
        <v>79</v>
      </c>
      <c r="AB475" s="13">
        <v>80</v>
      </c>
      <c r="AC475" s="19">
        <v>81</v>
      </c>
      <c r="AD475" s="19">
        <v>82</v>
      </c>
      <c r="AE475" s="19">
        <v>83</v>
      </c>
      <c r="AF475" s="19">
        <v>84</v>
      </c>
      <c r="AG475" s="19">
        <v>86</v>
      </c>
      <c r="AH475" s="19">
        <v>87</v>
      </c>
      <c r="AI475" s="19">
        <v>89</v>
      </c>
      <c r="AJ475" s="19">
        <v>90</v>
      </c>
      <c r="AK475" s="19">
        <v>91</v>
      </c>
      <c r="AL475" s="19">
        <v>93</v>
      </c>
      <c r="AM475" s="19">
        <v>94</v>
      </c>
      <c r="AN475" s="19">
        <v>95</v>
      </c>
      <c r="AO475" s="19">
        <v>96</v>
      </c>
      <c r="AP475" s="19">
        <v>98</v>
      </c>
      <c r="AQ475" s="19">
        <v>99</v>
      </c>
      <c r="AR475" s="19">
        <v>100</v>
      </c>
      <c r="AS475" s="19">
        <v>102</v>
      </c>
      <c r="AT475" s="19">
        <v>103</v>
      </c>
      <c r="AU475" s="19">
        <v>104</v>
      </c>
      <c r="AV475" s="19">
        <v>106</v>
      </c>
      <c r="AW475" s="19">
        <v>107</v>
      </c>
      <c r="AX475" s="19">
        <v>108</v>
      </c>
      <c r="AY475" s="19">
        <v>110</v>
      </c>
      <c r="AZ475" s="19">
        <v>111</v>
      </c>
      <c r="BA475" s="19">
        <v>112</v>
      </c>
      <c r="BB475" s="19">
        <v>113</v>
      </c>
      <c r="BC475" s="19">
        <v>115</v>
      </c>
      <c r="BD475" s="19">
        <v>116</v>
      </c>
      <c r="BE475" s="19">
        <v>117</v>
      </c>
      <c r="BF475" s="19">
        <v>119</v>
      </c>
      <c r="BG475" s="19">
        <v>120</v>
      </c>
      <c r="BH475" s="19">
        <v>121</v>
      </c>
      <c r="BI475" s="19">
        <v>123</v>
      </c>
      <c r="BJ475" s="19">
        <v>125</v>
      </c>
      <c r="BK475" s="19">
        <v>126</v>
      </c>
      <c r="BL475" s="19">
        <v>127</v>
      </c>
      <c r="BM475" s="19">
        <v>129</v>
      </c>
      <c r="BN475" s="19">
        <v>130</v>
      </c>
      <c r="BO475" s="19">
        <v>131</v>
      </c>
      <c r="BP475" s="19">
        <v>132</v>
      </c>
      <c r="BQ475" s="19">
        <v>133</v>
      </c>
      <c r="BR475" s="19">
        <v>135</v>
      </c>
      <c r="BS475" s="19">
        <v>136</v>
      </c>
      <c r="BT475" s="19">
        <v>137</v>
      </c>
      <c r="BU475" s="19">
        <v>139</v>
      </c>
      <c r="BV475" s="19">
        <v>140</v>
      </c>
      <c r="BW475" s="19">
        <v>141</v>
      </c>
      <c r="BX475" s="19">
        <v>142</v>
      </c>
      <c r="BY475" s="19">
        <v>144</v>
      </c>
      <c r="BZ475" s="19">
        <v>145</v>
      </c>
      <c r="CA475" s="19">
        <v>146</v>
      </c>
      <c r="CB475" s="19">
        <v>147</v>
      </c>
      <c r="CC475" s="19">
        <v>148</v>
      </c>
      <c r="CD475" s="19">
        <v>150</v>
      </c>
      <c r="CE475" s="19">
        <v>151</v>
      </c>
      <c r="CF475" s="19">
        <v>152</v>
      </c>
      <c r="CG475" s="7">
        <v>153</v>
      </c>
      <c r="CH475" s="7">
        <v>154</v>
      </c>
      <c r="CI475" s="7">
        <v>155</v>
      </c>
    </row>
    <row r="476" spans="1:123" s="7" customFormat="1" ht="15" customHeight="1" hidden="1">
      <c r="A476" s="24" t="s">
        <v>169</v>
      </c>
      <c r="B476" s="19">
        <v>15</v>
      </c>
      <c r="C476" s="19">
        <v>16</v>
      </c>
      <c r="D476" s="19">
        <v>18</v>
      </c>
      <c r="E476" s="19">
        <v>19</v>
      </c>
      <c r="F476" s="19">
        <v>21</v>
      </c>
      <c r="G476" s="19">
        <v>23</v>
      </c>
      <c r="H476" s="19">
        <v>24</v>
      </c>
      <c r="I476" s="19">
        <v>26</v>
      </c>
      <c r="J476" s="19">
        <v>28</v>
      </c>
      <c r="K476" s="19">
        <v>29</v>
      </c>
      <c r="L476" s="19">
        <v>31</v>
      </c>
      <c r="M476" s="19">
        <v>33</v>
      </c>
      <c r="N476" s="19">
        <v>34</v>
      </c>
      <c r="O476" s="19"/>
      <c r="P476" s="19">
        <v>35</v>
      </c>
      <c r="Q476" s="19">
        <v>36</v>
      </c>
      <c r="R476" s="19">
        <v>38</v>
      </c>
      <c r="S476" s="19">
        <v>39</v>
      </c>
      <c r="T476" s="19">
        <v>41</v>
      </c>
      <c r="U476" s="19">
        <v>42</v>
      </c>
      <c r="V476" s="13">
        <v>44</v>
      </c>
      <c r="W476" s="13">
        <v>46</v>
      </c>
      <c r="X476" s="13">
        <v>47</v>
      </c>
      <c r="Y476" s="13">
        <v>48</v>
      </c>
      <c r="Z476" s="19">
        <v>50</v>
      </c>
      <c r="AA476" s="19">
        <v>52</v>
      </c>
      <c r="AB476" s="13">
        <v>54</v>
      </c>
      <c r="AC476" s="19">
        <v>56</v>
      </c>
      <c r="AD476" s="19">
        <v>57</v>
      </c>
      <c r="AE476" s="19">
        <v>59</v>
      </c>
      <c r="AF476" s="19">
        <v>60</v>
      </c>
      <c r="AG476" s="19">
        <v>62</v>
      </c>
      <c r="AH476" s="19">
        <v>64</v>
      </c>
      <c r="AI476" s="19">
        <v>66</v>
      </c>
      <c r="AJ476" s="19">
        <v>68</v>
      </c>
      <c r="AK476" s="19">
        <v>69</v>
      </c>
      <c r="AL476" s="19">
        <v>70</v>
      </c>
      <c r="AM476" s="19">
        <v>72</v>
      </c>
      <c r="AN476" s="19">
        <v>73</v>
      </c>
      <c r="AO476" s="19">
        <v>75</v>
      </c>
      <c r="AP476" s="19">
        <v>77</v>
      </c>
      <c r="AQ476" s="19">
        <v>78</v>
      </c>
      <c r="AR476" s="19">
        <v>80</v>
      </c>
      <c r="AS476" s="19">
        <v>82</v>
      </c>
      <c r="AT476" s="19">
        <v>83</v>
      </c>
      <c r="AU476" s="19">
        <v>84</v>
      </c>
      <c r="AV476" s="19">
        <v>86</v>
      </c>
      <c r="AW476" s="19">
        <v>87</v>
      </c>
      <c r="AX476" s="19">
        <v>89</v>
      </c>
      <c r="AY476" s="19">
        <v>91</v>
      </c>
      <c r="AZ476" s="19">
        <v>92</v>
      </c>
      <c r="BA476" s="19">
        <v>94</v>
      </c>
      <c r="BB476" s="19">
        <v>95</v>
      </c>
      <c r="BC476" s="19">
        <v>97</v>
      </c>
      <c r="BD476" s="19">
        <v>98</v>
      </c>
      <c r="BE476" s="19">
        <v>100</v>
      </c>
      <c r="BF476" s="19">
        <v>101</v>
      </c>
      <c r="BG476" s="19">
        <v>103</v>
      </c>
      <c r="BH476" s="19">
        <v>104</v>
      </c>
      <c r="BI476" s="19">
        <v>105</v>
      </c>
      <c r="BJ476" s="19">
        <v>107</v>
      </c>
      <c r="BK476" s="19">
        <v>108</v>
      </c>
      <c r="BL476" s="19">
        <v>110</v>
      </c>
      <c r="BM476" s="19">
        <v>112</v>
      </c>
      <c r="BN476" s="19">
        <v>113</v>
      </c>
      <c r="BO476" s="19">
        <v>115</v>
      </c>
      <c r="BP476" s="19">
        <v>116</v>
      </c>
      <c r="BQ476" s="19">
        <v>117</v>
      </c>
      <c r="BR476" s="19">
        <v>119</v>
      </c>
      <c r="BS476" s="19">
        <v>121</v>
      </c>
      <c r="BT476" s="19">
        <v>122</v>
      </c>
      <c r="BU476" s="19">
        <v>123</v>
      </c>
      <c r="BV476" s="19">
        <v>125</v>
      </c>
      <c r="BW476" s="19">
        <v>126</v>
      </c>
      <c r="BX476" s="19">
        <v>127</v>
      </c>
      <c r="BY476" s="19">
        <v>128</v>
      </c>
      <c r="BZ476" s="19">
        <v>129</v>
      </c>
      <c r="CA476" s="19">
        <v>131</v>
      </c>
      <c r="CB476" s="19">
        <v>133</v>
      </c>
      <c r="CC476" s="19">
        <v>135</v>
      </c>
      <c r="CD476" s="19">
        <v>136</v>
      </c>
      <c r="CE476" s="19">
        <v>137</v>
      </c>
      <c r="CF476" s="19">
        <v>139</v>
      </c>
      <c r="CG476" s="19">
        <v>141</v>
      </c>
      <c r="CH476" s="19">
        <v>142</v>
      </c>
      <c r="CI476" s="19">
        <v>143</v>
      </c>
      <c r="CJ476" s="19">
        <v>145</v>
      </c>
      <c r="CK476" s="19">
        <v>147</v>
      </c>
      <c r="CL476" s="19">
        <v>148</v>
      </c>
      <c r="CM476" s="19">
        <v>150</v>
      </c>
      <c r="CN476" s="19">
        <v>151</v>
      </c>
      <c r="CO476" s="19">
        <v>153</v>
      </c>
      <c r="CP476" s="19">
        <v>154</v>
      </c>
      <c r="CQ476" s="19">
        <v>156</v>
      </c>
      <c r="CR476" s="19">
        <v>157</v>
      </c>
      <c r="CS476" s="19">
        <v>158</v>
      </c>
      <c r="CT476" s="19">
        <v>160</v>
      </c>
      <c r="CU476" s="19">
        <v>162</v>
      </c>
      <c r="CV476" s="19">
        <v>163</v>
      </c>
      <c r="CW476" s="19">
        <v>164</v>
      </c>
      <c r="CX476" s="19">
        <v>166</v>
      </c>
      <c r="CY476" s="19">
        <v>167</v>
      </c>
      <c r="CZ476" s="19">
        <v>169</v>
      </c>
      <c r="DA476" s="19">
        <v>170</v>
      </c>
      <c r="DB476" s="19">
        <v>172</v>
      </c>
      <c r="DC476" s="19">
        <v>173</v>
      </c>
      <c r="DD476" s="19">
        <v>175</v>
      </c>
      <c r="DE476" s="19">
        <v>176</v>
      </c>
      <c r="DF476" s="19">
        <v>178</v>
      </c>
      <c r="DG476" s="19">
        <v>179</v>
      </c>
      <c r="DH476" s="19">
        <v>181</v>
      </c>
      <c r="DI476" s="19">
        <v>183</v>
      </c>
      <c r="DJ476" s="19">
        <v>185</v>
      </c>
      <c r="DK476" s="19">
        <v>187</v>
      </c>
      <c r="DL476" s="19">
        <v>188</v>
      </c>
      <c r="DM476" s="19">
        <v>189</v>
      </c>
      <c r="DN476" s="19"/>
      <c r="DO476" s="19"/>
      <c r="DP476" s="19"/>
      <c r="DQ476" s="19"/>
      <c r="DR476" s="19"/>
      <c r="DS476" s="19"/>
    </row>
    <row r="477" spans="1:123" s="7" customFormat="1" ht="15" customHeight="1" hidden="1">
      <c r="A477" s="24" t="s">
        <v>170</v>
      </c>
      <c r="B477" s="19">
        <v>46</v>
      </c>
      <c r="C477" s="19">
        <v>47</v>
      </c>
      <c r="D477" s="19">
        <v>48</v>
      </c>
      <c r="E477" s="19">
        <v>49</v>
      </c>
      <c r="F477" s="19">
        <v>50</v>
      </c>
      <c r="G477" s="19">
        <v>51</v>
      </c>
      <c r="H477" s="19">
        <v>52</v>
      </c>
      <c r="I477" s="19">
        <v>53</v>
      </c>
      <c r="J477" s="19">
        <v>54</v>
      </c>
      <c r="K477" s="19">
        <v>55</v>
      </c>
      <c r="L477" s="19">
        <v>56</v>
      </c>
      <c r="M477" s="19">
        <v>57</v>
      </c>
      <c r="N477" s="19">
        <v>58</v>
      </c>
      <c r="O477" s="19"/>
      <c r="P477" s="19">
        <v>59</v>
      </c>
      <c r="Q477" s="19">
        <v>60</v>
      </c>
      <c r="R477" s="19">
        <v>61</v>
      </c>
      <c r="S477" s="19">
        <v>62</v>
      </c>
      <c r="T477" s="19">
        <v>63</v>
      </c>
      <c r="U477" s="19">
        <v>64</v>
      </c>
      <c r="V477" s="13">
        <v>65</v>
      </c>
      <c r="W477" s="13">
        <v>66</v>
      </c>
      <c r="X477" s="13">
        <v>67</v>
      </c>
      <c r="Y477" s="13">
        <v>68</v>
      </c>
      <c r="Z477" s="19">
        <v>69</v>
      </c>
      <c r="AA477" s="19">
        <v>70</v>
      </c>
      <c r="AB477" s="13">
        <v>71</v>
      </c>
      <c r="AC477" s="19">
        <v>72</v>
      </c>
      <c r="AD477" s="19">
        <v>73</v>
      </c>
      <c r="AE477" s="19">
        <v>74</v>
      </c>
      <c r="AF477" s="19">
        <v>75</v>
      </c>
      <c r="AG477" s="19">
        <v>76</v>
      </c>
      <c r="AH477" s="19">
        <v>77</v>
      </c>
      <c r="AI477" s="19">
        <v>78</v>
      </c>
      <c r="AJ477" s="19">
        <v>79</v>
      </c>
      <c r="AK477" s="19">
        <v>80</v>
      </c>
      <c r="AL477" s="19">
        <v>81</v>
      </c>
      <c r="AM477" s="19">
        <v>82</v>
      </c>
      <c r="AN477" s="19">
        <v>83</v>
      </c>
      <c r="AO477" s="19">
        <v>84</v>
      </c>
      <c r="AP477" s="19">
        <v>85</v>
      </c>
      <c r="AQ477" s="19">
        <v>86</v>
      </c>
      <c r="AR477" s="19">
        <v>87</v>
      </c>
      <c r="AS477" s="19">
        <v>88</v>
      </c>
      <c r="AT477" s="19">
        <v>89</v>
      </c>
      <c r="AU477" s="19">
        <v>90</v>
      </c>
      <c r="AV477" s="19">
        <v>91</v>
      </c>
      <c r="AW477" s="19">
        <v>92</v>
      </c>
      <c r="AX477" s="19">
        <v>93</v>
      </c>
      <c r="AY477" s="19">
        <v>94</v>
      </c>
      <c r="AZ477" s="19">
        <v>95</v>
      </c>
      <c r="BA477" s="19">
        <v>96</v>
      </c>
      <c r="BB477" s="19">
        <v>97</v>
      </c>
      <c r="BC477" s="19">
        <v>98</v>
      </c>
      <c r="BD477" s="19">
        <v>99</v>
      </c>
      <c r="BE477" s="19">
        <v>100</v>
      </c>
      <c r="BF477" s="19">
        <v>101</v>
      </c>
      <c r="BG477" s="19">
        <v>102</v>
      </c>
      <c r="BH477" s="19">
        <v>103</v>
      </c>
      <c r="BI477" s="19">
        <v>104</v>
      </c>
      <c r="BJ477" s="19">
        <v>105</v>
      </c>
      <c r="BK477" s="19">
        <v>106</v>
      </c>
      <c r="BL477" s="19">
        <v>107</v>
      </c>
      <c r="BM477" s="19">
        <v>108</v>
      </c>
      <c r="BN477" s="19">
        <v>109</v>
      </c>
      <c r="BO477" s="19">
        <v>110</v>
      </c>
      <c r="BP477" s="19">
        <v>111</v>
      </c>
      <c r="BQ477" s="19">
        <v>112</v>
      </c>
      <c r="BR477" s="19">
        <v>113</v>
      </c>
      <c r="BS477" s="19">
        <v>114</v>
      </c>
      <c r="BT477" s="19">
        <v>115</v>
      </c>
      <c r="BU477" s="19">
        <v>116</v>
      </c>
      <c r="BV477" s="19">
        <v>117</v>
      </c>
      <c r="BW477" s="19">
        <v>118</v>
      </c>
      <c r="BX477" s="19">
        <v>119</v>
      </c>
      <c r="BY477" s="19">
        <v>120</v>
      </c>
      <c r="BZ477" s="19">
        <v>121</v>
      </c>
      <c r="CA477" s="19">
        <v>122</v>
      </c>
      <c r="CB477" s="19">
        <v>123</v>
      </c>
      <c r="CC477" s="19">
        <v>124</v>
      </c>
      <c r="CD477" s="19">
        <v>125</v>
      </c>
      <c r="CE477" s="19">
        <v>126</v>
      </c>
      <c r="CF477" s="19">
        <v>127</v>
      </c>
      <c r="CG477" s="19">
        <v>128</v>
      </c>
      <c r="CH477" s="19">
        <v>129</v>
      </c>
      <c r="CI477" s="19">
        <v>130</v>
      </c>
      <c r="CJ477" s="19">
        <v>131</v>
      </c>
      <c r="CK477" s="19">
        <v>132</v>
      </c>
      <c r="CL477" s="19">
        <v>133</v>
      </c>
      <c r="CM477" s="19">
        <v>134</v>
      </c>
      <c r="CN477" s="19">
        <v>135</v>
      </c>
      <c r="CO477" s="19">
        <v>136</v>
      </c>
      <c r="CP477" s="19">
        <v>137</v>
      </c>
      <c r="CQ477" s="19">
        <v>138</v>
      </c>
      <c r="CR477" s="19">
        <v>139</v>
      </c>
      <c r="CS477" s="19">
        <v>140</v>
      </c>
      <c r="CT477" s="19">
        <v>141</v>
      </c>
      <c r="CU477" s="19">
        <v>142</v>
      </c>
      <c r="CV477" s="19">
        <v>143</v>
      </c>
      <c r="CW477" s="19">
        <v>144</v>
      </c>
      <c r="CX477" s="19">
        <v>145</v>
      </c>
      <c r="CY477" s="19">
        <v>146</v>
      </c>
      <c r="CZ477" s="19">
        <v>147</v>
      </c>
      <c r="DA477" s="19">
        <v>148</v>
      </c>
      <c r="DB477" s="19">
        <v>149</v>
      </c>
      <c r="DC477" s="19">
        <v>150</v>
      </c>
      <c r="DD477" s="19">
        <v>151</v>
      </c>
      <c r="DE477" s="19">
        <v>152</v>
      </c>
      <c r="DF477" s="19">
        <v>153</v>
      </c>
      <c r="DG477" s="19">
        <v>154</v>
      </c>
      <c r="DH477" s="19">
        <v>155</v>
      </c>
      <c r="DI477" s="19">
        <v>156</v>
      </c>
      <c r="DJ477" s="19">
        <v>157</v>
      </c>
      <c r="DK477" s="19">
        <v>158</v>
      </c>
      <c r="DL477" s="19">
        <v>159</v>
      </c>
      <c r="DM477" s="19">
        <v>160</v>
      </c>
      <c r="DN477" s="19"/>
      <c r="DO477" s="19"/>
      <c r="DP477" s="19"/>
      <c r="DQ477" s="19"/>
      <c r="DR477" s="19"/>
      <c r="DS477" s="19"/>
    </row>
    <row r="478" spans="1:36" s="7" customFormat="1" ht="15" customHeight="1" hidden="1">
      <c r="A478" s="24" t="s">
        <v>171</v>
      </c>
      <c r="B478" s="19">
        <v>0</v>
      </c>
      <c r="C478" s="19">
        <v>1</v>
      </c>
      <c r="D478" s="19">
        <v>2</v>
      </c>
      <c r="E478" s="19">
        <v>3</v>
      </c>
      <c r="F478" s="19">
        <v>4</v>
      </c>
      <c r="G478" s="19">
        <v>5</v>
      </c>
      <c r="H478" s="19">
        <v>6</v>
      </c>
      <c r="I478" s="19">
        <v>7</v>
      </c>
      <c r="J478" s="19">
        <v>8</v>
      </c>
      <c r="K478" s="19">
        <v>9</v>
      </c>
      <c r="L478" s="19">
        <v>10</v>
      </c>
      <c r="M478" s="19">
        <v>11</v>
      </c>
      <c r="N478" s="19">
        <v>12</v>
      </c>
      <c r="O478" s="19"/>
      <c r="P478" s="19">
        <v>13</v>
      </c>
      <c r="Q478" s="19">
        <v>14</v>
      </c>
      <c r="R478" s="19">
        <v>15</v>
      </c>
      <c r="S478" s="19">
        <v>16</v>
      </c>
      <c r="T478" s="19">
        <v>17</v>
      </c>
      <c r="U478" s="19">
        <v>1</v>
      </c>
      <c r="V478" s="13">
        <v>2</v>
      </c>
      <c r="W478" s="13">
        <v>3</v>
      </c>
      <c r="X478" s="13">
        <v>4</v>
      </c>
      <c r="Y478" s="13">
        <v>5</v>
      </c>
      <c r="Z478" s="19">
        <v>6</v>
      </c>
      <c r="AA478" s="19">
        <v>7</v>
      </c>
      <c r="AB478" s="13">
        <v>8</v>
      </c>
      <c r="AC478" s="19">
        <v>9</v>
      </c>
      <c r="AD478" s="19">
        <v>10</v>
      </c>
      <c r="AE478" s="19">
        <v>11</v>
      </c>
      <c r="AF478" s="19">
        <v>12</v>
      </c>
      <c r="AG478" s="19">
        <v>13</v>
      </c>
      <c r="AH478" s="19">
        <v>14</v>
      </c>
      <c r="AI478" s="19">
        <v>15</v>
      </c>
      <c r="AJ478" s="19">
        <v>16</v>
      </c>
    </row>
    <row r="479" spans="1:36" s="7" customFormat="1" ht="15" customHeight="1" hidden="1">
      <c r="A479" s="24" t="s">
        <v>164</v>
      </c>
      <c r="B479" s="19">
        <v>100</v>
      </c>
      <c r="C479" s="19">
        <v>100</v>
      </c>
      <c r="D479" s="19">
        <v>100</v>
      </c>
      <c r="E479" s="19">
        <v>100</v>
      </c>
      <c r="F479" s="19">
        <v>99</v>
      </c>
      <c r="G479" s="19">
        <v>96</v>
      </c>
      <c r="H479" s="19">
        <v>89</v>
      </c>
      <c r="I479" s="19">
        <v>73</v>
      </c>
      <c r="J479" s="19">
        <v>56</v>
      </c>
      <c r="K479" s="19">
        <v>39</v>
      </c>
      <c r="L479" s="19">
        <v>26</v>
      </c>
      <c r="M479" s="19">
        <v>14</v>
      </c>
      <c r="N479" s="19">
        <v>7</v>
      </c>
      <c r="O479" s="19"/>
      <c r="P479" s="19">
        <v>3</v>
      </c>
      <c r="Q479" s="19">
        <v>2</v>
      </c>
      <c r="R479" s="19">
        <v>0.7</v>
      </c>
      <c r="S479" s="19">
        <v>0.3</v>
      </c>
      <c r="T479" s="19">
        <v>0.1</v>
      </c>
      <c r="U479" s="19">
        <v>100</v>
      </c>
      <c r="V479" s="13">
        <v>100</v>
      </c>
      <c r="W479" s="13">
        <v>99</v>
      </c>
      <c r="X479" s="13">
        <v>99</v>
      </c>
      <c r="Y479" s="13">
        <v>95</v>
      </c>
      <c r="Z479" s="19">
        <v>86</v>
      </c>
      <c r="AA479" s="19">
        <v>70</v>
      </c>
      <c r="AB479" s="13">
        <v>56</v>
      </c>
      <c r="AC479" s="19">
        <v>32</v>
      </c>
      <c r="AD479" s="19">
        <v>20</v>
      </c>
      <c r="AE479" s="19">
        <v>11</v>
      </c>
      <c r="AF479" s="19">
        <v>5</v>
      </c>
      <c r="AG479" s="19">
        <v>2</v>
      </c>
      <c r="AH479" s="19">
        <v>0.6</v>
      </c>
      <c r="AI479" s="19">
        <v>0.2</v>
      </c>
      <c r="AJ479" s="19">
        <v>0</v>
      </c>
    </row>
    <row r="480" spans="1:31" s="7" customFormat="1" ht="15" customHeight="1" hidden="1">
      <c r="A480" s="24" t="s">
        <v>172</v>
      </c>
      <c r="B480" s="19">
        <v>0</v>
      </c>
      <c r="C480" s="19">
        <v>2</v>
      </c>
      <c r="D480" s="19">
        <v>3</v>
      </c>
      <c r="E480" s="19">
        <v>4</v>
      </c>
      <c r="F480" s="19">
        <v>5</v>
      </c>
      <c r="G480" s="19">
        <v>6</v>
      </c>
      <c r="H480" s="19">
        <v>7</v>
      </c>
      <c r="I480" s="19">
        <v>8</v>
      </c>
      <c r="J480" s="19">
        <v>9</v>
      </c>
      <c r="K480" s="19">
        <v>10</v>
      </c>
      <c r="L480" s="19">
        <v>11</v>
      </c>
      <c r="M480" s="19">
        <v>12</v>
      </c>
      <c r="N480" s="19">
        <v>13</v>
      </c>
      <c r="O480" s="19"/>
      <c r="P480" s="19">
        <v>14</v>
      </c>
      <c r="Q480" s="19">
        <v>1</v>
      </c>
      <c r="R480" s="19">
        <v>2</v>
      </c>
      <c r="S480" s="19">
        <v>3</v>
      </c>
      <c r="T480" s="19">
        <v>4</v>
      </c>
      <c r="U480" s="19">
        <v>5</v>
      </c>
      <c r="V480" s="13">
        <v>6</v>
      </c>
      <c r="W480" s="13">
        <v>7</v>
      </c>
      <c r="X480" s="13">
        <v>8</v>
      </c>
      <c r="Y480" s="13">
        <v>9</v>
      </c>
      <c r="Z480" s="19">
        <v>10</v>
      </c>
      <c r="AA480" s="19">
        <v>11</v>
      </c>
      <c r="AB480" s="13">
        <v>12</v>
      </c>
      <c r="AC480" s="19">
        <v>13</v>
      </c>
      <c r="AD480" s="19">
        <v>14</v>
      </c>
      <c r="AE480" s="19">
        <v>15</v>
      </c>
    </row>
    <row r="481" spans="1:31" s="7" customFormat="1" ht="15" customHeight="1" hidden="1">
      <c r="A481" s="24" t="s">
        <v>164</v>
      </c>
      <c r="B481" s="19">
        <v>100</v>
      </c>
      <c r="C481" s="19">
        <v>99</v>
      </c>
      <c r="D481" s="19">
        <v>95</v>
      </c>
      <c r="E481" s="19">
        <v>83</v>
      </c>
      <c r="F481" s="19">
        <v>64</v>
      </c>
      <c r="G481" s="19">
        <v>45</v>
      </c>
      <c r="H481" s="19">
        <v>28</v>
      </c>
      <c r="I481" s="19">
        <v>16</v>
      </c>
      <c r="J481" s="19">
        <v>9</v>
      </c>
      <c r="K481" s="19">
        <v>5</v>
      </c>
      <c r="L481" s="19">
        <v>2</v>
      </c>
      <c r="M481" s="19">
        <v>0.8</v>
      </c>
      <c r="N481" s="19">
        <v>0.4</v>
      </c>
      <c r="O481" s="19"/>
      <c r="P481" s="19">
        <v>0.2</v>
      </c>
      <c r="Q481" s="19">
        <v>99</v>
      </c>
      <c r="R481" s="19">
        <v>99</v>
      </c>
      <c r="S481" s="19">
        <v>94</v>
      </c>
      <c r="T481" s="19">
        <v>82</v>
      </c>
      <c r="U481" s="19">
        <v>62</v>
      </c>
      <c r="V481" s="13">
        <v>43</v>
      </c>
      <c r="W481" s="13">
        <v>26</v>
      </c>
      <c r="X481" s="13">
        <v>14</v>
      </c>
      <c r="Y481" s="13">
        <v>6.4</v>
      </c>
      <c r="Z481" s="19">
        <v>3</v>
      </c>
      <c r="AA481" s="19">
        <v>1.4</v>
      </c>
      <c r="AB481" s="13">
        <v>0.4</v>
      </c>
      <c r="AC481" s="19">
        <v>0.1</v>
      </c>
      <c r="AD481" s="19">
        <v>0.1</v>
      </c>
      <c r="AE481" s="19">
        <v>0</v>
      </c>
    </row>
    <row r="482" spans="1:33" s="7" customFormat="1" ht="15" customHeight="1" hidden="1">
      <c r="A482" s="24" t="s">
        <v>173</v>
      </c>
      <c r="B482" s="19">
        <v>0</v>
      </c>
      <c r="C482" s="19">
        <v>2</v>
      </c>
      <c r="D482" s="19">
        <v>3</v>
      </c>
      <c r="E482" s="19">
        <v>4</v>
      </c>
      <c r="F482" s="19">
        <v>5</v>
      </c>
      <c r="G482" s="19">
        <v>6</v>
      </c>
      <c r="H482" s="19">
        <v>7</v>
      </c>
      <c r="I482" s="19">
        <v>8</v>
      </c>
      <c r="J482" s="19">
        <v>9</v>
      </c>
      <c r="K482" s="19">
        <v>10</v>
      </c>
      <c r="L482" s="19">
        <v>11</v>
      </c>
      <c r="M482" s="19">
        <v>12</v>
      </c>
      <c r="N482" s="19">
        <v>13</v>
      </c>
      <c r="O482" s="19"/>
      <c r="P482" s="19">
        <v>14</v>
      </c>
      <c r="Q482" s="19">
        <v>15</v>
      </c>
      <c r="S482" s="19">
        <v>0</v>
      </c>
      <c r="T482" s="19">
        <v>2</v>
      </c>
      <c r="U482" s="19">
        <v>3</v>
      </c>
      <c r="V482" s="13">
        <v>4</v>
      </c>
      <c r="W482" s="13">
        <v>5</v>
      </c>
      <c r="X482" s="13">
        <v>6</v>
      </c>
      <c r="Y482" s="13">
        <v>7</v>
      </c>
      <c r="Z482" s="19">
        <v>8</v>
      </c>
      <c r="AA482" s="19">
        <v>9</v>
      </c>
      <c r="AB482" s="13">
        <v>10</v>
      </c>
      <c r="AC482" s="19">
        <v>11</v>
      </c>
      <c r="AD482" s="19">
        <v>12</v>
      </c>
      <c r="AE482" s="19">
        <v>13</v>
      </c>
      <c r="AF482" s="19">
        <v>14</v>
      </c>
      <c r="AG482" s="19">
        <v>15</v>
      </c>
    </row>
    <row r="483" spans="1:33" s="7" customFormat="1" ht="15" customHeight="1" hidden="1">
      <c r="A483" s="24" t="s">
        <v>164</v>
      </c>
      <c r="B483" s="19">
        <v>100</v>
      </c>
      <c r="C483" s="19">
        <v>99</v>
      </c>
      <c r="D483" s="19">
        <v>97</v>
      </c>
      <c r="E483" s="19">
        <v>90</v>
      </c>
      <c r="F483" s="19">
        <v>78</v>
      </c>
      <c r="G483" s="19">
        <v>62</v>
      </c>
      <c r="H483" s="19">
        <v>46</v>
      </c>
      <c r="I483" s="19">
        <v>30</v>
      </c>
      <c r="J483" s="19">
        <v>19</v>
      </c>
      <c r="K483" s="19">
        <v>11</v>
      </c>
      <c r="L483" s="19">
        <v>5</v>
      </c>
      <c r="M483" s="19">
        <v>3</v>
      </c>
      <c r="N483" s="19">
        <v>0.8</v>
      </c>
      <c r="O483" s="19"/>
      <c r="P483" s="19">
        <v>0.4</v>
      </c>
      <c r="Q483" s="19">
        <v>0.2</v>
      </c>
      <c r="S483" s="19">
        <v>100</v>
      </c>
      <c r="T483" s="19">
        <v>99</v>
      </c>
      <c r="U483" s="19">
        <v>97</v>
      </c>
      <c r="V483" s="13">
        <v>88</v>
      </c>
      <c r="W483" s="13">
        <v>75</v>
      </c>
      <c r="X483" s="13">
        <v>57</v>
      </c>
      <c r="Y483" s="13">
        <v>40</v>
      </c>
      <c r="Z483" s="19">
        <v>26</v>
      </c>
      <c r="AA483" s="19">
        <v>14.6</v>
      </c>
      <c r="AB483" s="13">
        <v>8</v>
      </c>
      <c r="AC483" s="19">
        <v>4</v>
      </c>
      <c r="AD483" s="19">
        <v>2</v>
      </c>
      <c r="AE483" s="19">
        <v>0.8</v>
      </c>
      <c r="AF483" s="19">
        <v>0.4</v>
      </c>
      <c r="AG483" s="19">
        <v>0.1</v>
      </c>
    </row>
    <row r="484" spans="1:28" s="7" customFormat="1" ht="15" customHeight="1" hidden="1">
      <c r="A484" s="3"/>
      <c r="V484" s="13"/>
      <c r="W484" s="13"/>
      <c r="X484" s="13"/>
      <c r="Y484" s="13"/>
      <c r="AB484" s="13"/>
    </row>
    <row r="485" spans="1:28" s="7" customFormat="1" ht="15" customHeight="1" hidden="1">
      <c r="A485" s="3"/>
      <c r="B485" s="7">
        <v>1</v>
      </c>
      <c r="C485" s="7">
        <v>70</v>
      </c>
      <c r="D485" s="7">
        <v>80</v>
      </c>
      <c r="E485" s="7">
        <v>90</v>
      </c>
      <c r="F485" s="7">
        <v>110</v>
      </c>
      <c r="G485" s="7">
        <v>120</v>
      </c>
      <c r="H485" s="7">
        <v>130</v>
      </c>
      <c r="V485" s="13"/>
      <c r="W485" s="13"/>
      <c r="X485" s="13"/>
      <c r="Y485" s="13"/>
      <c r="AB485" s="13"/>
    </row>
    <row r="486" spans="1:28" s="7" customFormat="1" ht="15" customHeight="1" hidden="1">
      <c r="A486" s="3"/>
      <c r="B486" s="7" t="s">
        <v>174</v>
      </c>
      <c r="C486" s="7" t="s">
        <v>175</v>
      </c>
      <c r="D486" s="7" t="s">
        <v>176</v>
      </c>
      <c r="E486" s="7" t="s">
        <v>177</v>
      </c>
      <c r="F486" s="7" t="s">
        <v>178</v>
      </c>
      <c r="G486" s="7" t="s">
        <v>179</v>
      </c>
      <c r="H486" s="7" t="s">
        <v>180</v>
      </c>
      <c r="V486" s="13"/>
      <c r="W486" s="13"/>
      <c r="X486" s="13"/>
      <c r="Y486" s="13"/>
      <c r="AB486" s="13"/>
    </row>
    <row r="487" spans="1:15" ht="15" customHeight="1" hidden="1">
      <c r="A487" s="3" t="s">
        <v>181</v>
      </c>
      <c r="B487" s="3">
        <v>46</v>
      </c>
      <c r="C487" s="3">
        <v>55</v>
      </c>
      <c r="D487" s="3">
        <v>66</v>
      </c>
      <c r="E487" s="3">
        <v>75</v>
      </c>
      <c r="F487" s="3">
        <v>87</v>
      </c>
      <c r="G487" s="3">
        <v>95</v>
      </c>
      <c r="H487" s="3">
        <v>106</v>
      </c>
      <c r="I487" s="3">
        <v>115</v>
      </c>
      <c r="J487" s="3">
        <v>126</v>
      </c>
      <c r="K487" s="3">
        <v>135</v>
      </c>
      <c r="L487" s="3">
        <v>146</v>
      </c>
      <c r="M487" s="3">
        <v>155</v>
      </c>
      <c r="N487" s="7"/>
      <c r="O487" s="7"/>
    </row>
    <row r="488" spans="1:13" ht="15" customHeight="1" hidden="1">
      <c r="A488" s="3" t="s">
        <v>182</v>
      </c>
      <c r="B488" s="3">
        <v>-4</v>
      </c>
      <c r="C488" s="3">
        <v>-4</v>
      </c>
      <c r="D488" s="3">
        <v>-5</v>
      </c>
      <c r="E488" s="3">
        <v>-5</v>
      </c>
      <c r="F488" s="3">
        <v>-6</v>
      </c>
      <c r="G488" s="3">
        <v>-6</v>
      </c>
      <c r="H488" s="3">
        <v>-7</v>
      </c>
      <c r="I488" s="3">
        <v>-7</v>
      </c>
      <c r="J488" s="3">
        <v>-8</v>
      </c>
      <c r="K488" s="3">
        <v>-8</v>
      </c>
      <c r="L488" s="3">
        <v>-9</v>
      </c>
      <c r="M488" s="3">
        <v>-9</v>
      </c>
    </row>
    <row r="489" spans="1:13" ht="15" customHeight="1" hidden="1">
      <c r="A489" s="3" t="s">
        <v>183</v>
      </c>
      <c r="B489" s="3">
        <v>9</v>
      </c>
      <c r="C489" s="3">
        <v>8</v>
      </c>
      <c r="D489" s="3">
        <v>8</v>
      </c>
      <c r="E489" s="3">
        <v>7</v>
      </c>
      <c r="F489" s="3">
        <v>7</v>
      </c>
      <c r="G489" s="3">
        <v>6</v>
      </c>
      <c r="H489" s="3">
        <v>6</v>
      </c>
      <c r="I489" s="3">
        <v>5</v>
      </c>
      <c r="J489" s="3">
        <v>5</v>
      </c>
      <c r="K489" s="3">
        <v>4</v>
      </c>
      <c r="L489" s="3">
        <v>4</v>
      </c>
      <c r="M489" s="3">
        <v>3</v>
      </c>
    </row>
    <row r="490" spans="1:28" ht="15" customHeight="1" hidden="1">
      <c r="A490" s="3" t="s">
        <v>184</v>
      </c>
      <c r="B490" s="3">
        <v>46</v>
      </c>
      <c r="C490" s="3">
        <v>50</v>
      </c>
      <c r="D490" s="3">
        <v>52</v>
      </c>
      <c r="E490" s="3">
        <v>62</v>
      </c>
      <c r="F490" s="3">
        <v>72</v>
      </c>
      <c r="G490" s="3">
        <v>73</v>
      </c>
      <c r="H490" s="3">
        <v>84</v>
      </c>
      <c r="I490" s="3">
        <v>95</v>
      </c>
      <c r="J490" s="3">
        <v>106</v>
      </c>
      <c r="K490" s="3">
        <v>117</v>
      </c>
      <c r="L490" s="3">
        <v>129</v>
      </c>
      <c r="M490" s="3">
        <v>139</v>
      </c>
      <c r="N490" s="3">
        <v>140</v>
      </c>
      <c r="O490" s="3">
        <v>150</v>
      </c>
      <c r="P490" s="3">
        <v>150</v>
      </c>
      <c r="Q490" s="3">
        <v>151</v>
      </c>
      <c r="U490" s="18"/>
      <c r="Y490" s="3"/>
      <c r="AA490" s="18"/>
      <c r="AB490" s="3"/>
    </row>
    <row r="491" spans="1:28" ht="15" customHeight="1" hidden="1">
      <c r="A491" s="3" t="s">
        <v>185</v>
      </c>
      <c r="B491" s="3">
        <v>-3</v>
      </c>
      <c r="C491" s="3">
        <v>-4</v>
      </c>
      <c r="D491" s="3">
        <v>-4</v>
      </c>
      <c r="E491" s="3">
        <v>-5</v>
      </c>
      <c r="F491" s="3">
        <v>-6</v>
      </c>
      <c r="G491" s="3">
        <v>-6</v>
      </c>
      <c r="H491" s="3">
        <v>-7</v>
      </c>
      <c r="I491" s="3">
        <v>-8</v>
      </c>
      <c r="J491" s="3">
        <v>-9</v>
      </c>
      <c r="K491" s="3">
        <v>-10</v>
      </c>
      <c r="L491" s="3">
        <v>-11</v>
      </c>
      <c r="M491" s="3">
        <v>-12</v>
      </c>
      <c r="N491" s="3">
        <v>-12</v>
      </c>
      <c r="O491" s="3">
        <v>-13</v>
      </c>
      <c r="P491" s="3">
        <v>-13</v>
      </c>
      <c r="Q491" s="3">
        <v>-13</v>
      </c>
      <c r="U491" s="18"/>
      <c r="Y491" s="3"/>
      <c r="AA491" s="18"/>
      <c r="AB491" s="3"/>
    </row>
    <row r="492" spans="1:28" ht="15" customHeight="1" hidden="1">
      <c r="A492" s="3" t="s">
        <v>186</v>
      </c>
      <c r="B492" s="3">
        <v>13</v>
      </c>
      <c r="C492" s="3">
        <v>13</v>
      </c>
      <c r="D492" s="3">
        <v>12</v>
      </c>
      <c r="E492" s="3">
        <v>11</v>
      </c>
      <c r="F492" s="3">
        <v>11</v>
      </c>
      <c r="G492" s="3">
        <v>10</v>
      </c>
      <c r="H492" s="3">
        <v>9</v>
      </c>
      <c r="I492" s="3">
        <v>8</v>
      </c>
      <c r="J492" s="3">
        <v>7</v>
      </c>
      <c r="K492" s="3">
        <v>6</v>
      </c>
      <c r="L492" s="3">
        <v>5</v>
      </c>
      <c r="M492" s="3">
        <v>5</v>
      </c>
      <c r="N492" s="3">
        <v>4</v>
      </c>
      <c r="O492" s="3">
        <v>4</v>
      </c>
      <c r="P492" s="3">
        <v>4</v>
      </c>
      <c r="Q492" s="3">
        <v>3</v>
      </c>
      <c r="U492" s="18"/>
      <c r="Y492" s="3"/>
      <c r="AA492" s="18"/>
      <c r="AB492" s="3"/>
    </row>
    <row r="493" spans="1:28" ht="15" customHeight="1" hidden="1">
      <c r="A493" s="3" t="s">
        <v>187</v>
      </c>
      <c r="B493" s="3">
        <v>40</v>
      </c>
      <c r="C493" s="3">
        <v>47</v>
      </c>
      <c r="D493" s="3">
        <v>54</v>
      </c>
      <c r="E493" s="3">
        <v>72</v>
      </c>
      <c r="F493" s="3">
        <v>79</v>
      </c>
      <c r="G493" s="3">
        <v>97</v>
      </c>
      <c r="H493" s="3">
        <v>104</v>
      </c>
      <c r="I493" s="3">
        <v>122</v>
      </c>
      <c r="J493" s="3">
        <v>129</v>
      </c>
      <c r="K493" s="3">
        <v>147</v>
      </c>
      <c r="L493" s="3">
        <v>154</v>
      </c>
      <c r="U493" s="18"/>
      <c r="Y493" s="3"/>
      <c r="AA493" s="18"/>
      <c r="AB493" s="3"/>
    </row>
    <row r="494" spans="1:28" ht="15" customHeight="1" hidden="1">
      <c r="A494" s="3" t="s">
        <v>188</v>
      </c>
      <c r="B494" s="3">
        <v>-3</v>
      </c>
      <c r="C494" s="3">
        <v>-4</v>
      </c>
      <c r="D494" s="3">
        <v>-4</v>
      </c>
      <c r="E494" s="3">
        <v>-5</v>
      </c>
      <c r="F494" s="3">
        <v>-5</v>
      </c>
      <c r="G494" s="3">
        <v>-6</v>
      </c>
      <c r="H494" s="3">
        <v>-6</v>
      </c>
      <c r="I494" s="3">
        <v>-7</v>
      </c>
      <c r="J494" s="3">
        <v>-7</v>
      </c>
      <c r="K494" s="3">
        <v>-8</v>
      </c>
      <c r="L494" s="3">
        <v>-8</v>
      </c>
      <c r="U494" s="18"/>
      <c r="Y494" s="3"/>
      <c r="AA494" s="18"/>
      <c r="AB494" s="3"/>
    </row>
    <row r="495" spans="1:28" ht="15" customHeight="1" hidden="1">
      <c r="A495" s="3" t="s">
        <v>189</v>
      </c>
      <c r="B495" s="3">
        <v>8</v>
      </c>
      <c r="C495" s="3">
        <v>8</v>
      </c>
      <c r="D495" s="3">
        <v>7</v>
      </c>
      <c r="E495" s="3">
        <v>7</v>
      </c>
      <c r="F495" s="3">
        <v>6</v>
      </c>
      <c r="G495" s="3">
        <v>6</v>
      </c>
      <c r="H495" s="3">
        <v>5</v>
      </c>
      <c r="I495" s="3">
        <v>5</v>
      </c>
      <c r="J495" s="3">
        <v>4</v>
      </c>
      <c r="K495" s="3">
        <v>4</v>
      </c>
      <c r="L495" s="3">
        <v>3</v>
      </c>
      <c r="U495" s="18"/>
      <c r="Y495" s="3"/>
      <c r="AA495" s="18"/>
      <c r="AB495" s="3"/>
    </row>
    <row r="496" spans="1:28" ht="15" customHeight="1" hidden="1">
      <c r="A496" s="3" t="s">
        <v>190</v>
      </c>
      <c r="B496" s="3">
        <v>50</v>
      </c>
      <c r="C496" s="3">
        <v>56</v>
      </c>
      <c r="D496" s="3">
        <v>63</v>
      </c>
      <c r="E496" s="3">
        <v>72</v>
      </c>
      <c r="F496" s="3">
        <v>79</v>
      </c>
      <c r="G496" s="3">
        <v>88</v>
      </c>
      <c r="H496" s="3">
        <v>96</v>
      </c>
      <c r="I496" s="3">
        <v>106</v>
      </c>
      <c r="J496" s="3">
        <v>113</v>
      </c>
      <c r="K496" s="3">
        <v>122</v>
      </c>
      <c r="L496" s="3">
        <v>130</v>
      </c>
      <c r="M496" s="3">
        <v>139</v>
      </c>
      <c r="N496" s="3">
        <v>146</v>
      </c>
      <c r="U496" s="18"/>
      <c r="Y496" s="3"/>
      <c r="AA496" s="18"/>
      <c r="AB496" s="3"/>
    </row>
    <row r="497" spans="1:28" ht="15" customHeight="1" hidden="1">
      <c r="A497" s="3" t="s">
        <v>191</v>
      </c>
      <c r="B497" s="3">
        <v>-4</v>
      </c>
      <c r="C497" s="3">
        <v>-4</v>
      </c>
      <c r="D497" s="3">
        <v>-5</v>
      </c>
      <c r="E497" s="3">
        <v>-5</v>
      </c>
      <c r="F497" s="3">
        <v>-6</v>
      </c>
      <c r="G497" s="3">
        <v>-6</v>
      </c>
      <c r="H497" s="3">
        <v>-7</v>
      </c>
      <c r="I497" s="3">
        <v>-7</v>
      </c>
      <c r="J497" s="3">
        <v>-8</v>
      </c>
      <c r="K497" s="3">
        <v>-8</v>
      </c>
      <c r="L497" s="3">
        <v>-9</v>
      </c>
      <c r="M497" s="3">
        <v>-9</v>
      </c>
      <c r="N497" s="3">
        <v>-10</v>
      </c>
      <c r="U497" s="18"/>
      <c r="Y497" s="3"/>
      <c r="AA497" s="18"/>
      <c r="AB497" s="3"/>
    </row>
    <row r="498" spans="1:28" ht="15" customHeight="1" hidden="1">
      <c r="A498" s="3" t="s">
        <v>192</v>
      </c>
      <c r="B498" s="3">
        <v>10</v>
      </c>
      <c r="C498" s="3">
        <v>9</v>
      </c>
      <c r="D498" s="3">
        <v>9</v>
      </c>
      <c r="E498" s="3">
        <v>8</v>
      </c>
      <c r="F498" s="3">
        <v>8</v>
      </c>
      <c r="G498" s="3">
        <v>7</v>
      </c>
      <c r="H498" s="3">
        <v>7</v>
      </c>
      <c r="I498" s="3">
        <v>6</v>
      </c>
      <c r="J498" s="3">
        <v>6</v>
      </c>
      <c r="K498" s="3">
        <v>5</v>
      </c>
      <c r="L498" s="3">
        <v>5</v>
      </c>
      <c r="M498" s="3">
        <v>4</v>
      </c>
      <c r="N498" s="3">
        <v>4</v>
      </c>
      <c r="U498" s="18"/>
      <c r="Y498" s="3"/>
      <c r="AA498" s="18"/>
      <c r="AB498" s="3"/>
    </row>
    <row r="499" spans="1:28" ht="15" customHeight="1" hidden="1">
      <c r="A499" s="3" t="s">
        <v>193</v>
      </c>
      <c r="B499" s="3">
        <v>50</v>
      </c>
      <c r="C499" s="3">
        <v>53</v>
      </c>
      <c r="D499" s="3">
        <v>59</v>
      </c>
      <c r="E499" s="3">
        <v>62</v>
      </c>
      <c r="F499" s="3">
        <v>69</v>
      </c>
      <c r="G499" s="3">
        <v>73</v>
      </c>
      <c r="H499" s="3">
        <v>79</v>
      </c>
      <c r="I499" s="3">
        <v>82</v>
      </c>
      <c r="J499" s="3">
        <v>89</v>
      </c>
      <c r="K499" s="3">
        <v>93</v>
      </c>
      <c r="L499" s="3">
        <v>99</v>
      </c>
      <c r="M499" s="3">
        <v>102</v>
      </c>
      <c r="N499" s="3">
        <v>109</v>
      </c>
      <c r="O499" s="3">
        <v>113</v>
      </c>
      <c r="P499" s="3">
        <v>119</v>
      </c>
      <c r="Q499" s="3">
        <v>122</v>
      </c>
      <c r="R499" s="3">
        <v>130</v>
      </c>
      <c r="S499" s="3">
        <v>132</v>
      </c>
      <c r="T499" s="3">
        <v>139</v>
      </c>
      <c r="U499" s="18">
        <v>142</v>
      </c>
      <c r="V499" s="18">
        <v>150</v>
      </c>
      <c r="Y499" s="3"/>
      <c r="AA499" s="18"/>
      <c r="AB499" s="3"/>
    </row>
    <row r="500" spans="1:28" ht="15" customHeight="1" hidden="1">
      <c r="A500" s="3" t="s">
        <v>194</v>
      </c>
      <c r="B500" s="3">
        <v>-3</v>
      </c>
      <c r="C500" s="3">
        <v>-4</v>
      </c>
      <c r="D500" s="3">
        <v>-4</v>
      </c>
      <c r="E500" s="3">
        <v>-5</v>
      </c>
      <c r="F500" s="3">
        <v>-5</v>
      </c>
      <c r="G500" s="3">
        <v>-6</v>
      </c>
      <c r="H500" s="3">
        <v>-6</v>
      </c>
      <c r="I500" s="3">
        <v>-7</v>
      </c>
      <c r="J500" s="3">
        <v>-7</v>
      </c>
      <c r="K500" s="3">
        <v>-8</v>
      </c>
      <c r="L500" s="3">
        <v>-8</v>
      </c>
      <c r="M500" s="3">
        <v>-9</v>
      </c>
      <c r="N500" s="3">
        <v>-9</v>
      </c>
      <c r="O500" s="3">
        <v>-10</v>
      </c>
      <c r="P500" s="3">
        <v>-10</v>
      </c>
      <c r="Q500" s="3">
        <v>-11</v>
      </c>
      <c r="R500" s="3">
        <v>-11</v>
      </c>
      <c r="S500" s="3">
        <v>-12</v>
      </c>
      <c r="T500" s="3">
        <v>-12</v>
      </c>
      <c r="U500" s="18">
        <v>-13</v>
      </c>
      <c r="V500" s="18">
        <v>-13</v>
      </c>
      <c r="Y500" s="3"/>
      <c r="AA500" s="18"/>
      <c r="AB500" s="3"/>
    </row>
    <row r="501" spans="1:28" ht="15" customHeight="1" hidden="1">
      <c r="A501" s="3" t="s">
        <v>195</v>
      </c>
      <c r="B501" s="3">
        <v>13</v>
      </c>
      <c r="C501" s="3">
        <v>13</v>
      </c>
      <c r="D501" s="3">
        <v>12</v>
      </c>
      <c r="E501" s="3">
        <v>12</v>
      </c>
      <c r="F501" s="3">
        <v>11</v>
      </c>
      <c r="G501" s="3">
        <v>11</v>
      </c>
      <c r="H501" s="3">
        <v>10</v>
      </c>
      <c r="I501" s="3">
        <v>10</v>
      </c>
      <c r="J501" s="3">
        <v>9</v>
      </c>
      <c r="K501" s="3">
        <v>9</v>
      </c>
      <c r="L501" s="3">
        <v>8</v>
      </c>
      <c r="M501" s="3">
        <v>8</v>
      </c>
      <c r="N501" s="3">
        <v>7</v>
      </c>
      <c r="O501" s="3">
        <v>7</v>
      </c>
      <c r="P501" s="3">
        <v>6</v>
      </c>
      <c r="Q501" s="3">
        <v>6</v>
      </c>
      <c r="R501" s="3">
        <v>5</v>
      </c>
      <c r="S501" s="3">
        <v>5</v>
      </c>
      <c r="T501" s="3">
        <v>4</v>
      </c>
      <c r="U501" s="18">
        <v>4</v>
      </c>
      <c r="V501" s="18">
        <v>3</v>
      </c>
      <c r="Y501" s="3"/>
      <c r="AA501" s="18"/>
      <c r="AB501" s="3"/>
    </row>
    <row r="502" spans="1:28" ht="15" customHeight="1" hidden="1">
      <c r="A502" s="3" t="s">
        <v>196</v>
      </c>
      <c r="B502" s="3">
        <v>50</v>
      </c>
      <c r="C502" s="3">
        <v>52</v>
      </c>
      <c r="D502" s="3">
        <v>58</v>
      </c>
      <c r="E502" s="3">
        <v>61</v>
      </c>
      <c r="F502" s="3">
        <v>64</v>
      </c>
      <c r="G502" s="3">
        <v>69</v>
      </c>
      <c r="H502" s="3">
        <v>72</v>
      </c>
      <c r="I502" s="3">
        <v>75</v>
      </c>
      <c r="J502" s="3">
        <v>81</v>
      </c>
      <c r="K502" s="3">
        <v>84</v>
      </c>
      <c r="L502" s="3">
        <v>87</v>
      </c>
      <c r="M502" s="3">
        <v>93</v>
      </c>
      <c r="N502" s="3">
        <v>96</v>
      </c>
      <c r="O502" s="3">
        <v>98</v>
      </c>
      <c r="P502" s="3">
        <v>104</v>
      </c>
      <c r="Q502" s="3">
        <v>106</v>
      </c>
      <c r="R502" s="3">
        <v>112</v>
      </c>
      <c r="S502" s="3">
        <v>115</v>
      </c>
      <c r="T502" s="3">
        <v>118</v>
      </c>
      <c r="U502" s="18">
        <v>121</v>
      </c>
      <c r="V502" s="18">
        <v>126</v>
      </c>
      <c r="W502" s="18">
        <v>129</v>
      </c>
      <c r="X502" s="18">
        <v>134</v>
      </c>
      <c r="Y502" s="3">
        <v>137</v>
      </c>
      <c r="Z502" s="3">
        <v>142</v>
      </c>
      <c r="AA502" s="18">
        <v>145</v>
      </c>
      <c r="AB502" s="3">
        <v>150</v>
      </c>
    </row>
    <row r="503" spans="1:28" ht="15" customHeight="1" hidden="1">
      <c r="A503" s="3" t="s">
        <v>197</v>
      </c>
      <c r="B503" s="3">
        <v>-3</v>
      </c>
      <c r="C503" s="3">
        <v>-3</v>
      </c>
      <c r="D503" s="3">
        <v>-4</v>
      </c>
      <c r="E503" s="3">
        <v>-4</v>
      </c>
      <c r="F503" s="3">
        <v>-5</v>
      </c>
      <c r="G503" s="3">
        <v>-5</v>
      </c>
      <c r="H503" s="3">
        <v>-6</v>
      </c>
      <c r="I503" s="3">
        <v>-6</v>
      </c>
      <c r="J503" s="3">
        <v>-7</v>
      </c>
      <c r="K503" s="3">
        <v>-7</v>
      </c>
      <c r="L503" s="3">
        <v>-8</v>
      </c>
      <c r="M503" s="3">
        <v>-8</v>
      </c>
      <c r="N503" s="3">
        <v>-9</v>
      </c>
      <c r="O503" s="3">
        <v>-9</v>
      </c>
      <c r="P503" s="3">
        <v>-10</v>
      </c>
      <c r="Q503" s="3">
        <v>-10</v>
      </c>
      <c r="R503" s="3">
        <v>-11</v>
      </c>
      <c r="S503" s="3">
        <v>-11</v>
      </c>
      <c r="T503" s="3">
        <v>-12</v>
      </c>
      <c r="U503" s="18">
        <v>-12</v>
      </c>
      <c r="V503" s="18">
        <v>-13</v>
      </c>
      <c r="W503" s="18">
        <v>-13</v>
      </c>
      <c r="X503" s="18">
        <v>-14</v>
      </c>
      <c r="Y503" s="3">
        <v>-14</v>
      </c>
      <c r="Z503" s="3">
        <v>-15</v>
      </c>
      <c r="AA503" s="18">
        <v>-15</v>
      </c>
      <c r="AB503" s="3">
        <v>-16</v>
      </c>
    </row>
    <row r="504" spans="1:28" ht="15" customHeight="1" hidden="1">
      <c r="A504" s="3" t="s">
        <v>198</v>
      </c>
      <c r="B504" s="3">
        <v>16</v>
      </c>
      <c r="C504" s="3">
        <v>15</v>
      </c>
      <c r="D504" s="3">
        <v>15</v>
      </c>
      <c r="E504" s="3">
        <v>14</v>
      </c>
      <c r="F504" s="3">
        <v>14</v>
      </c>
      <c r="G504" s="3">
        <v>13</v>
      </c>
      <c r="H504" s="3">
        <v>13</v>
      </c>
      <c r="I504" s="3">
        <v>12</v>
      </c>
      <c r="J504" s="3">
        <v>12</v>
      </c>
      <c r="K504" s="3">
        <v>11</v>
      </c>
      <c r="L504" s="3">
        <v>11</v>
      </c>
      <c r="M504" s="3">
        <v>10</v>
      </c>
      <c r="N504" s="3">
        <v>10</v>
      </c>
      <c r="O504" s="3">
        <v>9</v>
      </c>
      <c r="P504" s="3">
        <v>9</v>
      </c>
      <c r="Q504" s="3">
        <v>8</v>
      </c>
      <c r="R504" s="3">
        <v>8</v>
      </c>
      <c r="S504" s="3">
        <v>7</v>
      </c>
      <c r="T504" s="3">
        <v>7</v>
      </c>
      <c r="U504" s="18">
        <v>6</v>
      </c>
      <c r="V504" s="18">
        <v>6</v>
      </c>
      <c r="W504" s="18">
        <v>5</v>
      </c>
      <c r="X504" s="18">
        <v>5</v>
      </c>
      <c r="Y504" s="3">
        <v>4</v>
      </c>
      <c r="Z504" s="3">
        <v>4</v>
      </c>
      <c r="AA504" s="18">
        <v>3</v>
      </c>
      <c r="AB504" s="3">
        <v>3</v>
      </c>
    </row>
    <row r="505" spans="1:32" ht="15" customHeight="1" hidden="1">
      <c r="A505" s="3" t="s">
        <v>199</v>
      </c>
      <c r="B505" s="3">
        <v>50</v>
      </c>
      <c r="C505" s="3">
        <v>54</v>
      </c>
      <c r="D505" s="3">
        <v>58</v>
      </c>
      <c r="E505" s="3">
        <v>61</v>
      </c>
      <c r="F505" s="3">
        <v>64</v>
      </c>
      <c r="G505" s="3">
        <v>67</v>
      </c>
      <c r="H505" s="3">
        <v>70</v>
      </c>
      <c r="I505" s="3">
        <v>75</v>
      </c>
      <c r="J505" s="3">
        <v>80</v>
      </c>
      <c r="K505" s="3">
        <v>83</v>
      </c>
      <c r="L505" s="3">
        <v>86</v>
      </c>
      <c r="M505" s="3">
        <v>88</v>
      </c>
      <c r="N505" s="3">
        <v>93</v>
      </c>
      <c r="O505" s="3">
        <v>96</v>
      </c>
      <c r="P505" s="3">
        <v>99</v>
      </c>
      <c r="Q505" s="3">
        <v>104</v>
      </c>
      <c r="R505" s="3">
        <v>106</v>
      </c>
      <c r="S505" s="3">
        <v>109</v>
      </c>
      <c r="T505" s="3">
        <v>114</v>
      </c>
      <c r="U505" s="18">
        <v>117</v>
      </c>
      <c r="V505" s="18">
        <v>119</v>
      </c>
      <c r="W505" s="18">
        <v>122</v>
      </c>
      <c r="X505" s="18">
        <v>126</v>
      </c>
      <c r="Y505" s="3">
        <v>129</v>
      </c>
      <c r="Z505" s="3">
        <v>131</v>
      </c>
      <c r="AA505" s="18">
        <v>134</v>
      </c>
      <c r="AB505" s="3">
        <v>137</v>
      </c>
      <c r="AC505" s="3">
        <v>140</v>
      </c>
      <c r="AD505" s="3">
        <v>143</v>
      </c>
      <c r="AE505" s="3">
        <v>146</v>
      </c>
      <c r="AF505" s="3">
        <v>150</v>
      </c>
    </row>
    <row r="506" spans="1:32" ht="15" customHeight="1" hidden="1">
      <c r="A506" s="3" t="s">
        <v>200</v>
      </c>
      <c r="B506" s="3">
        <v>-2</v>
      </c>
      <c r="C506" s="3">
        <v>-3</v>
      </c>
      <c r="D506" s="3">
        <v>-3</v>
      </c>
      <c r="E506" s="3">
        <v>-4</v>
      </c>
      <c r="F506" s="3">
        <v>-4</v>
      </c>
      <c r="G506" s="3">
        <v>-5</v>
      </c>
      <c r="H506" s="3">
        <v>-5</v>
      </c>
      <c r="I506" s="3">
        <v>-6</v>
      </c>
      <c r="J506" s="3">
        <v>-7</v>
      </c>
      <c r="K506" s="3">
        <v>-7</v>
      </c>
      <c r="L506" s="3">
        <v>-8</v>
      </c>
      <c r="M506" s="3">
        <v>-8</v>
      </c>
      <c r="N506" s="3">
        <v>-9</v>
      </c>
      <c r="O506" s="3">
        <v>-9</v>
      </c>
      <c r="P506" s="3">
        <v>-10</v>
      </c>
      <c r="Q506" s="3">
        <v>-10</v>
      </c>
      <c r="R506" s="3">
        <v>-11</v>
      </c>
      <c r="S506" s="3">
        <v>-11</v>
      </c>
      <c r="T506" s="3">
        <v>-12</v>
      </c>
      <c r="U506" s="18">
        <v>-12</v>
      </c>
      <c r="V506" s="18">
        <v>-13</v>
      </c>
      <c r="W506" s="18">
        <v>-13</v>
      </c>
      <c r="X506" s="18">
        <v>-14</v>
      </c>
      <c r="Y506" s="3">
        <v>-14</v>
      </c>
      <c r="Z506" s="3">
        <v>-14</v>
      </c>
      <c r="AA506" s="18">
        <v>-15</v>
      </c>
      <c r="AB506" s="3">
        <v>-15</v>
      </c>
      <c r="AC506" s="3">
        <v>-16</v>
      </c>
      <c r="AD506" s="3">
        <v>-16</v>
      </c>
      <c r="AE506" s="3">
        <v>-17</v>
      </c>
      <c r="AF506" s="3">
        <v>-17</v>
      </c>
    </row>
    <row r="507" spans="1:32" ht="15" customHeight="1" hidden="1">
      <c r="A507" s="3" t="s">
        <v>201</v>
      </c>
      <c r="B507" s="3">
        <v>17</v>
      </c>
      <c r="C507" s="3">
        <v>17</v>
      </c>
      <c r="D507" s="3">
        <v>16</v>
      </c>
      <c r="E507" s="3">
        <v>16</v>
      </c>
      <c r="F507" s="3">
        <v>15</v>
      </c>
      <c r="G507" s="3">
        <v>15</v>
      </c>
      <c r="H507" s="3">
        <v>14</v>
      </c>
      <c r="I507" s="3">
        <v>13</v>
      </c>
      <c r="J507" s="3">
        <v>13</v>
      </c>
      <c r="K507" s="3">
        <v>12</v>
      </c>
      <c r="L507" s="3">
        <v>12</v>
      </c>
      <c r="M507" s="3">
        <v>11</v>
      </c>
      <c r="N507" s="3">
        <v>11</v>
      </c>
      <c r="O507" s="3">
        <v>10</v>
      </c>
      <c r="P507" s="3">
        <v>10</v>
      </c>
      <c r="Q507" s="3">
        <v>9</v>
      </c>
      <c r="R507" s="3">
        <v>9</v>
      </c>
      <c r="S507" s="3">
        <v>8</v>
      </c>
      <c r="T507" s="3">
        <v>8</v>
      </c>
      <c r="U507" s="18">
        <v>7</v>
      </c>
      <c r="V507" s="18">
        <v>7</v>
      </c>
      <c r="W507" s="18">
        <v>6</v>
      </c>
      <c r="X507" s="18">
        <v>6</v>
      </c>
      <c r="Y507" s="3">
        <v>5</v>
      </c>
      <c r="Z507" s="3">
        <v>5</v>
      </c>
      <c r="AA507" s="18">
        <v>5</v>
      </c>
      <c r="AB507" s="3">
        <v>4</v>
      </c>
      <c r="AC507" s="3">
        <v>4</v>
      </c>
      <c r="AD507" s="3">
        <v>3</v>
      </c>
      <c r="AE507" s="3">
        <v>3</v>
      </c>
      <c r="AF507" s="3">
        <v>2</v>
      </c>
    </row>
    <row r="508" spans="1:91" s="7" customFormat="1" ht="15" customHeight="1" hidden="1">
      <c r="A508" s="24" t="s">
        <v>202</v>
      </c>
      <c r="B508" s="19">
        <v>1</v>
      </c>
      <c r="C508" s="19">
        <v>62</v>
      </c>
      <c r="D508" s="19">
        <v>68</v>
      </c>
      <c r="E508" s="19">
        <v>71</v>
      </c>
      <c r="F508" s="19">
        <v>73</v>
      </c>
      <c r="G508" s="19">
        <v>75</v>
      </c>
      <c r="H508" s="19">
        <v>77</v>
      </c>
      <c r="I508" s="19">
        <v>78</v>
      </c>
      <c r="J508" s="19">
        <v>79</v>
      </c>
      <c r="K508" s="19">
        <v>80</v>
      </c>
      <c r="L508" s="19">
        <v>81</v>
      </c>
      <c r="M508" s="19">
        <v>82</v>
      </c>
      <c r="N508" s="19">
        <v>83</v>
      </c>
      <c r="O508" s="19">
        <v>84</v>
      </c>
      <c r="P508" s="19">
        <v>85</v>
      </c>
      <c r="Q508" s="19">
        <v>86</v>
      </c>
      <c r="R508" s="19">
        <v>87</v>
      </c>
      <c r="S508" s="19">
        <v>88</v>
      </c>
      <c r="T508" s="19">
        <v>89</v>
      </c>
      <c r="U508" s="19">
        <v>90</v>
      </c>
      <c r="V508" s="19">
        <v>91</v>
      </c>
      <c r="W508" s="19">
        <v>92</v>
      </c>
      <c r="X508" s="19">
        <v>93</v>
      </c>
      <c r="Y508" s="19">
        <v>94</v>
      </c>
      <c r="Z508" s="19">
        <v>95</v>
      </c>
      <c r="AA508" s="19">
        <v>96</v>
      </c>
      <c r="AB508" s="19">
        <v>97</v>
      </c>
      <c r="AC508" s="19">
        <v>98</v>
      </c>
      <c r="AD508" s="19">
        <v>99</v>
      </c>
      <c r="AE508" s="19">
        <v>100</v>
      </c>
      <c r="AF508" s="19">
        <v>101</v>
      </c>
      <c r="AG508" s="19">
        <v>102</v>
      </c>
      <c r="AH508" s="19">
        <v>103</v>
      </c>
      <c r="AI508" s="19">
        <v>104</v>
      </c>
      <c r="AJ508" s="19">
        <v>105</v>
      </c>
      <c r="AK508" s="19">
        <v>106</v>
      </c>
      <c r="AL508" s="19">
        <v>107</v>
      </c>
      <c r="AM508" s="19">
        <v>108</v>
      </c>
      <c r="AN508" s="19">
        <v>109</v>
      </c>
      <c r="AO508" s="19">
        <v>110</v>
      </c>
      <c r="AP508" s="19">
        <v>111</v>
      </c>
      <c r="AQ508" s="19">
        <v>112</v>
      </c>
      <c r="AR508" s="19">
        <v>113</v>
      </c>
      <c r="AS508" s="19">
        <v>114</v>
      </c>
      <c r="AT508" s="19">
        <v>115</v>
      </c>
      <c r="AU508" s="19">
        <v>116</v>
      </c>
      <c r="AV508" s="19">
        <v>117</v>
      </c>
      <c r="AW508" s="19">
        <v>118</v>
      </c>
      <c r="AX508" s="19">
        <v>119</v>
      </c>
      <c r="AY508" s="19">
        <v>120</v>
      </c>
      <c r="AZ508" s="19">
        <v>121</v>
      </c>
      <c r="BA508" s="19">
        <v>122</v>
      </c>
      <c r="BB508" s="19">
        <v>123</v>
      </c>
      <c r="BC508" s="19">
        <v>124</v>
      </c>
      <c r="BD508" s="19">
        <v>126</v>
      </c>
      <c r="BE508" s="19">
        <v>129</v>
      </c>
      <c r="BF508" s="19">
        <v>131</v>
      </c>
      <c r="BG508" s="19">
        <v>133</v>
      </c>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row>
    <row r="509" spans="1:59" ht="15" customHeight="1" hidden="1">
      <c r="A509" s="3" t="s">
        <v>203</v>
      </c>
      <c r="B509" s="3">
        <v>1</v>
      </c>
      <c r="C509" s="3">
        <v>1</v>
      </c>
      <c r="D509" s="3">
        <v>2</v>
      </c>
      <c r="E509" s="3">
        <v>3</v>
      </c>
      <c r="F509" s="3">
        <v>4</v>
      </c>
      <c r="G509" s="3">
        <v>5</v>
      </c>
      <c r="H509" s="3">
        <v>6</v>
      </c>
      <c r="I509" s="3">
        <v>7</v>
      </c>
      <c r="J509" s="3">
        <v>8</v>
      </c>
      <c r="K509" s="3">
        <v>9</v>
      </c>
      <c r="L509" s="3">
        <v>10</v>
      </c>
      <c r="M509" s="3">
        <v>12</v>
      </c>
      <c r="N509" s="3">
        <v>13</v>
      </c>
      <c r="O509" s="3">
        <v>14</v>
      </c>
      <c r="P509" s="3">
        <v>16</v>
      </c>
      <c r="Q509" s="3">
        <v>18</v>
      </c>
      <c r="R509" s="18">
        <v>19</v>
      </c>
      <c r="S509" s="18">
        <v>21</v>
      </c>
      <c r="T509" s="18">
        <v>23</v>
      </c>
      <c r="U509" s="18">
        <v>25</v>
      </c>
      <c r="V509" s="3">
        <v>27</v>
      </c>
      <c r="W509" s="3">
        <v>30</v>
      </c>
      <c r="X509" s="18">
        <v>32</v>
      </c>
      <c r="Y509" s="3">
        <v>34</v>
      </c>
      <c r="Z509" s="3">
        <v>37</v>
      </c>
      <c r="AA509" s="3">
        <v>39</v>
      </c>
      <c r="AB509" s="3">
        <v>42</v>
      </c>
      <c r="AC509" s="3">
        <v>45</v>
      </c>
      <c r="AD509" s="3">
        <v>47</v>
      </c>
      <c r="AE509" s="3">
        <v>50</v>
      </c>
      <c r="AF509" s="3">
        <v>53</v>
      </c>
      <c r="AG509" s="3">
        <v>55</v>
      </c>
      <c r="AH509" s="3">
        <v>58</v>
      </c>
      <c r="AI509" s="3">
        <v>61</v>
      </c>
      <c r="AJ509" s="3">
        <v>63</v>
      </c>
      <c r="AK509" s="3">
        <v>66</v>
      </c>
      <c r="AL509" s="3">
        <v>68</v>
      </c>
      <c r="AM509" s="3">
        <v>70</v>
      </c>
      <c r="AN509" s="3">
        <v>73</v>
      </c>
      <c r="AO509" s="3">
        <v>75</v>
      </c>
      <c r="AP509" s="3">
        <v>77</v>
      </c>
      <c r="AQ509" s="3">
        <v>79</v>
      </c>
      <c r="AR509" s="3">
        <v>81</v>
      </c>
      <c r="AS509" s="3">
        <v>82</v>
      </c>
      <c r="AT509" s="3">
        <v>84</v>
      </c>
      <c r="AU509" s="3">
        <v>86</v>
      </c>
      <c r="AV509" s="3">
        <v>87</v>
      </c>
      <c r="AW509" s="3">
        <v>88</v>
      </c>
      <c r="AX509" s="3">
        <v>90</v>
      </c>
      <c r="AY509" s="3">
        <v>91</v>
      </c>
      <c r="AZ509" s="3">
        <v>92</v>
      </c>
      <c r="BA509" s="3">
        <v>93</v>
      </c>
      <c r="BB509" s="3">
        <v>94</v>
      </c>
      <c r="BC509" s="3">
        <v>95</v>
      </c>
      <c r="BD509" s="3">
        <v>96</v>
      </c>
      <c r="BE509" s="3">
        <v>97</v>
      </c>
      <c r="BF509" s="3">
        <v>98</v>
      </c>
      <c r="BG509" s="3">
        <v>99</v>
      </c>
    </row>
    <row r="510" spans="1:38" ht="15" customHeight="1" hidden="1">
      <c r="A510" s="3" t="s">
        <v>204</v>
      </c>
      <c r="B510" s="3">
        <v>2</v>
      </c>
      <c r="C510" s="3">
        <v>3</v>
      </c>
      <c r="D510" s="3">
        <v>4</v>
      </c>
      <c r="E510" s="3">
        <v>5</v>
      </c>
      <c r="F510" s="3">
        <v>6</v>
      </c>
      <c r="G510" s="3">
        <v>7</v>
      </c>
      <c r="H510" s="3">
        <v>8</v>
      </c>
      <c r="I510" s="3">
        <v>9</v>
      </c>
      <c r="J510" s="3">
        <v>10</v>
      </c>
      <c r="K510" s="3">
        <v>11</v>
      </c>
      <c r="L510" s="3">
        <v>12</v>
      </c>
      <c r="M510" s="3">
        <v>13</v>
      </c>
      <c r="N510" s="3">
        <v>14</v>
      </c>
      <c r="O510" s="3">
        <v>15</v>
      </c>
      <c r="P510" s="3">
        <v>16</v>
      </c>
      <c r="Q510" s="3">
        <v>17</v>
      </c>
      <c r="R510" s="3">
        <v>18</v>
      </c>
      <c r="S510" s="3">
        <v>19</v>
      </c>
      <c r="T510" s="3">
        <v>20</v>
      </c>
      <c r="U510" s="18">
        <v>21</v>
      </c>
      <c r="V510" s="18">
        <v>22</v>
      </c>
      <c r="W510" s="18">
        <v>23</v>
      </c>
      <c r="X510" s="18">
        <v>24</v>
      </c>
      <c r="Y510" s="3">
        <v>25</v>
      </c>
      <c r="Z510" s="3">
        <v>26</v>
      </c>
      <c r="AA510" s="18">
        <v>27</v>
      </c>
      <c r="AB510" s="3">
        <v>28</v>
      </c>
      <c r="AC510" s="3">
        <v>29</v>
      </c>
      <c r="AD510" s="3">
        <v>30</v>
      </c>
      <c r="AE510" s="3">
        <v>31</v>
      </c>
      <c r="AF510" s="3">
        <v>32</v>
      </c>
      <c r="AG510" s="3">
        <v>33</v>
      </c>
      <c r="AH510" s="3">
        <v>34</v>
      </c>
      <c r="AI510" s="3">
        <v>35</v>
      </c>
      <c r="AJ510" s="3">
        <v>36</v>
      </c>
      <c r="AK510" s="3">
        <v>37</v>
      </c>
      <c r="AL510" s="3">
        <v>38</v>
      </c>
    </row>
    <row r="511" spans="1:38" ht="15" customHeight="1" hidden="1">
      <c r="A511" s="3" t="s">
        <v>205</v>
      </c>
      <c r="B511" s="3">
        <v>50</v>
      </c>
      <c r="C511" s="3">
        <v>54</v>
      </c>
      <c r="D511" s="3">
        <v>58</v>
      </c>
      <c r="E511" s="3">
        <v>61</v>
      </c>
      <c r="F511" s="3">
        <v>64</v>
      </c>
      <c r="G511" s="3">
        <v>67</v>
      </c>
      <c r="H511" s="3">
        <v>70</v>
      </c>
      <c r="I511" s="3">
        <v>72</v>
      </c>
      <c r="J511" s="3">
        <v>75</v>
      </c>
      <c r="K511" s="3">
        <v>77</v>
      </c>
      <c r="L511" s="3">
        <v>80</v>
      </c>
      <c r="M511" s="3">
        <v>83</v>
      </c>
      <c r="N511" s="3">
        <v>86</v>
      </c>
      <c r="O511" s="3">
        <v>88</v>
      </c>
      <c r="P511" s="3">
        <v>91</v>
      </c>
      <c r="Q511" s="3">
        <v>93</v>
      </c>
      <c r="R511" s="3">
        <v>96</v>
      </c>
      <c r="S511" s="3">
        <v>99</v>
      </c>
      <c r="T511" s="3">
        <v>101</v>
      </c>
      <c r="U511" s="18">
        <v>104</v>
      </c>
      <c r="V511" s="18">
        <v>106</v>
      </c>
      <c r="W511" s="18">
        <v>109</v>
      </c>
      <c r="X511" s="18">
        <v>111</v>
      </c>
      <c r="Y511" s="3">
        <v>114</v>
      </c>
      <c r="Z511" s="3">
        <v>117</v>
      </c>
      <c r="AA511" s="18">
        <v>119</v>
      </c>
      <c r="AB511" s="3">
        <v>122</v>
      </c>
      <c r="AC511" s="3">
        <v>124</v>
      </c>
      <c r="AD511" s="3">
        <v>126</v>
      </c>
      <c r="AE511" s="3">
        <v>129</v>
      </c>
      <c r="AF511" s="3">
        <v>131</v>
      </c>
      <c r="AG511" s="3">
        <v>134</v>
      </c>
      <c r="AH511" s="3">
        <v>137</v>
      </c>
      <c r="AI511" s="3">
        <v>140</v>
      </c>
      <c r="AJ511" s="3">
        <v>143</v>
      </c>
      <c r="AK511" s="3">
        <v>146</v>
      </c>
      <c r="AL511" s="3">
        <v>150</v>
      </c>
    </row>
    <row r="512" spans="1:38" ht="15" customHeight="1" hidden="1">
      <c r="A512" s="3" t="s">
        <v>206</v>
      </c>
      <c r="B512" s="3">
        <v>2</v>
      </c>
      <c r="C512" s="3">
        <v>3</v>
      </c>
      <c r="D512" s="3">
        <v>4</v>
      </c>
      <c r="E512" s="3">
        <v>5</v>
      </c>
      <c r="F512" s="3">
        <v>6</v>
      </c>
      <c r="G512" s="3">
        <v>7</v>
      </c>
      <c r="H512" s="3">
        <v>8</v>
      </c>
      <c r="I512" s="3">
        <v>9</v>
      </c>
      <c r="J512" s="3">
        <v>10</v>
      </c>
      <c r="K512" s="3">
        <v>11</v>
      </c>
      <c r="L512" s="3">
        <v>12</v>
      </c>
      <c r="M512" s="3">
        <v>13</v>
      </c>
      <c r="N512" s="3">
        <v>14</v>
      </c>
      <c r="O512" s="3">
        <v>15</v>
      </c>
      <c r="P512" s="3">
        <v>16</v>
      </c>
      <c r="Q512" s="3">
        <v>17</v>
      </c>
      <c r="R512" s="3">
        <v>18</v>
      </c>
      <c r="S512" s="3">
        <v>19</v>
      </c>
      <c r="T512" s="3">
        <v>20</v>
      </c>
      <c r="U512" s="18">
        <v>21</v>
      </c>
      <c r="V512" s="18">
        <v>22</v>
      </c>
      <c r="W512" s="18">
        <v>23</v>
      </c>
      <c r="X512" s="18">
        <v>24</v>
      </c>
      <c r="Y512" s="3">
        <v>25</v>
      </c>
      <c r="Z512" s="3">
        <v>26</v>
      </c>
      <c r="AA512" s="18">
        <v>27</v>
      </c>
      <c r="AB512" s="3">
        <v>28</v>
      </c>
      <c r="AC512" s="3">
        <v>29</v>
      </c>
      <c r="AD512" s="3">
        <v>30</v>
      </c>
      <c r="AE512" s="3">
        <v>31</v>
      </c>
      <c r="AF512" s="3">
        <v>32</v>
      </c>
      <c r="AG512" s="3">
        <v>33</v>
      </c>
      <c r="AH512" s="3">
        <v>34</v>
      </c>
      <c r="AI512" s="3">
        <v>35</v>
      </c>
      <c r="AJ512" s="3">
        <v>36</v>
      </c>
      <c r="AK512" s="3">
        <v>37</v>
      </c>
      <c r="AL512" s="3">
        <v>38</v>
      </c>
    </row>
    <row r="513" spans="1:38" ht="15" customHeight="1" hidden="1">
      <c r="A513" s="3" t="s">
        <v>207</v>
      </c>
      <c r="B513" s="3">
        <v>50</v>
      </c>
      <c r="C513" s="3">
        <v>52</v>
      </c>
      <c r="D513" s="3">
        <v>55</v>
      </c>
      <c r="E513" s="3">
        <v>58</v>
      </c>
      <c r="F513" s="3">
        <v>61</v>
      </c>
      <c r="G513" s="3">
        <v>64</v>
      </c>
      <c r="H513" s="3">
        <v>67</v>
      </c>
      <c r="I513" s="3">
        <v>69</v>
      </c>
      <c r="J513" s="3">
        <v>72</v>
      </c>
      <c r="K513" s="3">
        <v>75</v>
      </c>
      <c r="L513" s="3">
        <v>78</v>
      </c>
      <c r="M513" s="3">
        <v>81</v>
      </c>
      <c r="N513" s="3">
        <v>84</v>
      </c>
      <c r="O513" s="3">
        <v>87</v>
      </c>
      <c r="P513" s="3">
        <v>90</v>
      </c>
      <c r="Q513" s="3">
        <v>93</v>
      </c>
      <c r="R513" s="3">
        <v>96</v>
      </c>
      <c r="S513" s="3">
        <v>98</v>
      </c>
      <c r="T513" s="3">
        <v>101</v>
      </c>
      <c r="U513" s="18">
        <v>104</v>
      </c>
      <c r="V513" s="18">
        <v>106</v>
      </c>
      <c r="W513" s="18">
        <v>109</v>
      </c>
      <c r="X513" s="18">
        <v>112</v>
      </c>
      <c r="Y513" s="3">
        <v>115</v>
      </c>
      <c r="Z513" s="3">
        <v>118</v>
      </c>
      <c r="AA513" s="18">
        <v>121</v>
      </c>
      <c r="AB513" s="3">
        <v>124</v>
      </c>
      <c r="AC513" s="3">
        <v>126</v>
      </c>
      <c r="AD513" s="3">
        <v>129</v>
      </c>
      <c r="AE513" s="3">
        <v>131</v>
      </c>
      <c r="AF513" s="3">
        <v>134</v>
      </c>
      <c r="AG513" s="3">
        <v>137</v>
      </c>
      <c r="AH513" s="3">
        <v>140</v>
      </c>
      <c r="AI513" s="3">
        <v>142</v>
      </c>
      <c r="AJ513" s="3">
        <v>145</v>
      </c>
      <c r="AK513" s="3">
        <v>148</v>
      </c>
      <c r="AL513" s="3">
        <v>150</v>
      </c>
    </row>
    <row r="514" spans="1:69" ht="15" customHeight="1" hidden="1">
      <c r="A514" s="3" t="s">
        <v>208</v>
      </c>
      <c r="B514" s="3">
        <v>4</v>
      </c>
      <c r="C514" s="3">
        <v>7</v>
      </c>
      <c r="D514" s="3">
        <v>8</v>
      </c>
      <c r="E514" s="3">
        <v>9</v>
      </c>
      <c r="F514" s="3">
        <v>10</v>
      </c>
      <c r="G514" s="3">
        <v>11</v>
      </c>
      <c r="H514" s="3">
        <v>12</v>
      </c>
      <c r="I514" s="3">
        <v>13</v>
      </c>
      <c r="J514" s="3">
        <v>14</v>
      </c>
      <c r="K514" s="3">
        <v>15</v>
      </c>
      <c r="L514" s="3">
        <v>16</v>
      </c>
      <c r="M514" s="3">
        <v>17</v>
      </c>
      <c r="N514" s="3">
        <v>18</v>
      </c>
      <c r="O514" s="3">
        <v>19</v>
      </c>
      <c r="P514" s="3">
        <v>20</v>
      </c>
      <c r="Q514" s="18">
        <v>21</v>
      </c>
      <c r="R514" s="18">
        <v>22</v>
      </c>
      <c r="S514" s="18">
        <v>23</v>
      </c>
      <c r="T514" s="18">
        <v>24</v>
      </c>
      <c r="U514" s="3">
        <v>25</v>
      </c>
      <c r="V514" s="3">
        <v>26</v>
      </c>
      <c r="W514" s="18">
        <v>27</v>
      </c>
      <c r="X514" s="3">
        <v>28</v>
      </c>
      <c r="Y514" s="3">
        <v>29</v>
      </c>
      <c r="Z514" s="3">
        <v>30</v>
      </c>
      <c r="AA514" s="3">
        <v>31</v>
      </c>
      <c r="AB514" s="3">
        <v>32</v>
      </c>
      <c r="AC514" s="3">
        <v>33</v>
      </c>
      <c r="AD514" s="3">
        <v>34</v>
      </c>
      <c r="AE514" s="3">
        <v>35</v>
      </c>
      <c r="AF514" s="3">
        <v>36</v>
      </c>
      <c r="AG514" s="3">
        <v>37</v>
      </c>
      <c r="AH514" s="3">
        <v>38</v>
      </c>
      <c r="AI514" s="3">
        <v>39</v>
      </c>
      <c r="AJ514" s="3">
        <v>40</v>
      </c>
      <c r="AK514" s="3">
        <v>41</v>
      </c>
      <c r="AL514" s="3">
        <v>42</v>
      </c>
      <c r="AM514" s="3">
        <v>43</v>
      </c>
      <c r="AN514" s="3">
        <v>44</v>
      </c>
      <c r="AO514" s="3">
        <v>45</v>
      </c>
      <c r="AP514" s="3">
        <v>46</v>
      </c>
      <c r="AQ514" s="3">
        <v>47</v>
      </c>
      <c r="AR514" s="3">
        <v>48</v>
      </c>
      <c r="AS514" s="3">
        <v>49</v>
      </c>
      <c r="AT514" s="3">
        <v>50</v>
      </c>
      <c r="AU514" s="3">
        <v>51</v>
      </c>
      <c r="AV514" s="3">
        <v>52</v>
      </c>
      <c r="AW514" s="3">
        <v>53</v>
      </c>
      <c r="AX514" s="3">
        <v>54</v>
      </c>
      <c r="AY514" s="3">
        <v>55</v>
      </c>
      <c r="AZ514" s="3">
        <v>56</v>
      </c>
      <c r="BA514" s="3">
        <v>57</v>
      </c>
      <c r="BB514" s="3">
        <v>58</v>
      </c>
      <c r="BC514" s="3">
        <v>59</v>
      </c>
      <c r="BD514" s="3">
        <v>60</v>
      </c>
      <c r="BE514" s="3">
        <v>61</v>
      </c>
      <c r="BF514" s="3">
        <v>62</v>
      </c>
      <c r="BG514" s="3">
        <v>63</v>
      </c>
      <c r="BH514" s="3">
        <v>64</v>
      </c>
      <c r="BI514" s="3">
        <v>65</v>
      </c>
      <c r="BJ514" s="3">
        <v>66</v>
      </c>
      <c r="BK514" s="3">
        <v>67</v>
      </c>
      <c r="BL514" s="3">
        <v>68</v>
      </c>
      <c r="BM514" s="3">
        <v>69</v>
      </c>
      <c r="BN514" s="3">
        <v>70</v>
      </c>
      <c r="BO514" s="3">
        <v>71</v>
      </c>
      <c r="BP514" s="3">
        <v>72</v>
      </c>
      <c r="BQ514" s="3">
        <v>73</v>
      </c>
    </row>
    <row r="515" spans="1:69" ht="15" customHeight="1" hidden="1">
      <c r="A515" s="3" t="s">
        <v>209</v>
      </c>
      <c r="B515" s="3">
        <v>50</v>
      </c>
      <c r="C515" s="3">
        <v>51</v>
      </c>
      <c r="D515" s="3">
        <v>53</v>
      </c>
      <c r="E515" s="3">
        <v>54</v>
      </c>
      <c r="F515" s="3">
        <v>56</v>
      </c>
      <c r="G515" s="3">
        <v>57</v>
      </c>
      <c r="H515" s="3">
        <v>59</v>
      </c>
      <c r="I515" s="3">
        <v>60</v>
      </c>
      <c r="J515" s="3">
        <v>62</v>
      </c>
      <c r="K515" s="3">
        <v>64</v>
      </c>
      <c r="L515" s="3">
        <v>65</v>
      </c>
      <c r="M515" s="3">
        <v>67</v>
      </c>
      <c r="N515" s="3">
        <v>69</v>
      </c>
      <c r="O515" s="3">
        <v>70</v>
      </c>
      <c r="P515" s="3">
        <v>71</v>
      </c>
      <c r="Q515" s="18">
        <v>73</v>
      </c>
      <c r="R515" s="18">
        <v>75</v>
      </c>
      <c r="S515" s="18">
        <v>76</v>
      </c>
      <c r="T515" s="18">
        <v>77</v>
      </c>
      <c r="U515" s="3">
        <v>79</v>
      </c>
      <c r="V515" s="3">
        <v>80</v>
      </c>
      <c r="W515" s="18">
        <v>82</v>
      </c>
      <c r="X515" s="3">
        <v>83</v>
      </c>
      <c r="Y515" s="3">
        <v>85</v>
      </c>
      <c r="Z515" s="3">
        <v>86</v>
      </c>
      <c r="AA515" s="3">
        <v>87</v>
      </c>
      <c r="AB515" s="3">
        <v>89</v>
      </c>
      <c r="AC515" s="3">
        <v>90</v>
      </c>
      <c r="AD515" s="3">
        <v>91</v>
      </c>
      <c r="AE515" s="3">
        <v>93</v>
      </c>
      <c r="AF515" s="3">
        <v>94</v>
      </c>
      <c r="AG515" s="3">
        <v>96</v>
      </c>
      <c r="AH515" s="3">
        <v>97</v>
      </c>
      <c r="AI515" s="3">
        <v>99</v>
      </c>
      <c r="AJ515" s="3">
        <v>100</v>
      </c>
      <c r="AK515" s="3">
        <v>102</v>
      </c>
      <c r="AL515" s="3">
        <v>104</v>
      </c>
      <c r="AM515" s="3">
        <v>105</v>
      </c>
      <c r="AN515" s="3">
        <v>107</v>
      </c>
      <c r="AO515" s="3">
        <v>109</v>
      </c>
      <c r="AP515" s="3">
        <v>110</v>
      </c>
      <c r="AQ515" s="3">
        <v>111</v>
      </c>
      <c r="AR515" s="3">
        <v>113</v>
      </c>
      <c r="AS515" s="3">
        <v>114</v>
      </c>
      <c r="AT515" s="3">
        <v>116</v>
      </c>
      <c r="AU515" s="3">
        <v>117</v>
      </c>
      <c r="AV515" s="3">
        <v>119</v>
      </c>
      <c r="AW515" s="3">
        <v>120</v>
      </c>
      <c r="AX515" s="3">
        <v>122</v>
      </c>
      <c r="AY515" s="3">
        <v>123</v>
      </c>
      <c r="AZ515" s="3">
        <v>124</v>
      </c>
      <c r="BA515" s="3">
        <v>126</v>
      </c>
      <c r="BB515" s="3">
        <v>128</v>
      </c>
      <c r="BC515" s="3">
        <v>130</v>
      </c>
      <c r="BD515" s="3">
        <v>131</v>
      </c>
      <c r="BE515" s="3">
        <v>132</v>
      </c>
      <c r="BF515" s="3">
        <v>133</v>
      </c>
      <c r="BG515" s="3">
        <v>135</v>
      </c>
      <c r="BH515" s="3">
        <v>136</v>
      </c>
      <c r="BI515" s="3">
        <v>138</v>
      </c>
      <c r="BJ515" s="3">
        <v>139</v>
      </c>
      <c r="BK515" s="3">
        <v>141</v>
      </c>
      <c r="BL515" s="3">
        <v>142</v>
      </c>
      <c r="BM515" s="3">
        <v>144</v>
      </c>
      <c r="BN515" s="3">
        <v>145</v>
      </c>
      <c r="BO515" s="3">
        <v>147</v>
      </c>
      <c r="BP515" s="3">
        <v>148</v>
      </c>
      <c r="BQ515" s="3">
        <v>150</v>
      </c>
    </row>
    <row r="516" spans="1:73" ht="15" customHeight="1" hidden="1">
      <c r="A516" s="3" t="s">
        <v>210</v>
      </c>
      <c r="B516" s="3">
        <v>4</v>
      </c>
      <c r="C516" s="3">
        <v>5</v>
      </c>
      <c r="D516" s="3">
        <v>6</v>
      </c>
      <c r="E516" s="3">
        <v>7</v>
      </c>
      <c r="F516" s="3">
        <v>8</v>
      </c>
      <c r="G516" s="3">
        <v>9</v>
      </c>
      <c r="H516" s="3">
        <v>10</v>
      </c>
      <c r="I516" s="3">
        <v>11</v>
      </c>
      <c r="J516" s="3">
        <v>12</v>
      </c>
      <c r="K516" s="3">
        <v>13</v>
      </c>
      <c r="L516" s="3">
        <v>14</v>
      </c>
      <c r="M516" s="3">
        <v>15</v>
      </c>
      <c r="N516" s="3">
        <v>16</v>
      </c>
      <c r="O516" s="3">
        <v>17</v>
      </c>
      <c r="P516" s="3">
        <v>18</v>
      </c>
      <c r="Q516" s="3">
        <v>19</v>
      </c>
      <c r="R516" s="3">
        <v>20</v>
      </c>
      <c r="S516" s="18">
        <v>21</v>
      </c>
      <c r="T516" s="18">
        <v>22</v>
      </c>
      <c r="U516" s="18">
        <v>23</v>
      </c>
      <c r="V516" s="18">
        <v>24</v>
      </c>
      <c r="W516" s="3">
        <v>25</v>
      </c>
      <c r="X516" s="3">
        <v>26</v>
      </c>
      <c r="Y516" s="18">
        <v>27</v>
      </c>
      <c r="Z516" s="3">
        <v>28</v>
      </c>
      <c r="AA516" s="3">
        <v>29</v>
      </c>
      <c r="AB516" s="3">
        <v>30</v>
      </c>
      <c r="AC516" s="3">
        <v>31</v>
      </c>
      <c r="AD516" s="3">
        <v>32</v>
      </c>
      <c r="AE516" s="3">
        <v>33</v>
      </c>
      <c r="AF516" s="3">
        <v>34</v>
      </c>
      <c r="AG516" s="3">
        <v>35</v>
      </c>
      <c r="AH516" s="3">
        <v>36</v>
      </c>
      <c r="AI516" s="3">
        <v>37</v>
      </c>
      <c r="AJ516" s="3">
        <v>38</v>
      </c>
      <c r="AK516" s="3">
        <v>39</v>
      </c>
      <c r="AL516" s="3">
        <v>40</v>
      </c>
      <c r="AM516" s="3">
        <v>41</v>
      </c>
      <c r="AN516" s="3">
        <v>42</v>
      </c>
      <c r="AO516" s="3">
        <v>43</v>
      </c>
      <c r="AP516" s="3">
        <v>44</v>
      </c>
      <c r="AQ516" s="3">
        <v>45</v>
      </c>
      <c r="AR516" s="3">
        <v>46</v>
      </c>
      <c r="AS516" s="3">
        <v>47</v>
      </c>
      <c r="AT516" s="3">
        <v>48</v>
      </c>
      <c r="AU516" s="3">
        <v>49</v>
      </c>
      <c r="AV516" s="3">
        <v>50</v>
      </c>
      <c r="AW516" s="3">
        <v>51</v>
      </c>
      <c r="AX516" s="3">
        <v>52</v>
      </c>
      <c r="AY516" s="3">
        <v>53</v>
      </c>
      <c r="AZ516" s="3">
        <v>54</v>
      </c>
      <c r="BA516" s="3">
        <v>55</v>
      </c>
      <c r="BB516" s="3">
        <v>56</v>
      </c>
      <c r="BC516" s="3">
        <v>57</v>
      </c>
      <c r="BD516" s="3">
        <v>58</v>
      </c>
      <c r="BE516" s="3">
        <v>59</v>
      </c>
      <c r="BF516" s="3">
        <v>60</v>
      </c>
      <c r="BG516" s="3">
        <v>61</v>
      </c>
      <c r="BH516" s="3">
        <v>62</v>
      </c>
      <c r="BI516" s="3">
        <v>63</v>
      </c>
      <c r="BJ516" s="3">
        <v>64</v>
      </c>
      <c r="BK516" s="3">
        <v>65</v>
      </c>
      <c r="BL516" s="3">
        <v>66</v>
      </c>
      <c r="BM516" s="3">
        <v>67</v>
      </c>
      <c r="BN516" s="3">
        <v>68</v>
      </c>
      <c r="BO516" s="3">
        <v>69</v>
      </c>
      <c r="BP516" s="3">
        <v>70</v>
      </c>
      <c r="BQ516" s="3">
        <v>71</v>
      </c>
      <c r="BR516" s="3">
        <v>72</v>
      </c>
      <c r="BS516" s="3">
        <v>73</v>
      </c>
      <c r="BT516" s="3">
        <v>74</v>
      </c>
      <c r="BU516" s="3">
        <v>75</v>
      </c>
    </row>
    <row r="517" spans="1:73" ht="15" customHeight="1" hidden="1">
      <c r="A517" s="3" t="s">
        <v>211</v>
      </c>
      <c r="B517" s="3">
        <v>50</v>
      </c>
      <c r="C517" s="3">
        <v>52</v>
      </c>
      <c r="D517" s="3">
        <v>54</v>
      </c>
      <c r="E517" s="3">
        <v>56</v>
      </c>
      <c r="F517" s="3">
        <v>57</v>
      </c>
      <c r="G517" s="3">
        <v>59</v>
      </c>
      <c r="H517" s="3">
        <v>60</v>
      </c>
      <c r="I517" s="3">
        <v>61</v>
      </c>
      <c r="J517" s="3">
        <v>63</v>
      </c>
      <c r="K517" s="3">
        <v>64</v>
      </c>
      <c r="L517" s="3">
        <v>65</v>
      </c>
      <c r="M517" s="3">
        <v>67</v>
      </c>
      <c r="N517" s="3">
        <v>68</v>
      </c>
      <c r="O517" s="3">
        <v>69</v>
      </c>
      <c r="P517" s="3">
        <v>70</v>
      </c>
      <c r="Q517" s="3">
        <v>72</v>
      </c>
      <c r="R517" s="3">
        <v>73</v>
      </c>
      <c r="S517" s="18">
        <v>75</v>
      </c>
      <c r="T517" s="18">
        <v>76</v>
      </c>
      <c r="U517" s="18">
        <v>77</v>
      </c>
      <c r="V517" s="18">
        <v>79</v>
      </c>
      <c r="W517" s="3">
        <v>80</v>
      </c>
      <c r="X517" s="3">
        <v>81</v>
      </c>
      <c r="Y517" s="18">
        <v>83</v>
      </c>
      <c r="Z517" s="3">
        <v>84</v>
      </c>
      <c r="AA517" s="3">
        <v>85</v>
      </c>
      <c r="AB517" s="3">
        <v>87</v>
      </c>
      <c r="AC517" s="3">
        <v>88</v>
      </c>
      <c r="AD517" s="3">
        <v>89</v>
      </c>
      <c r="AE517" s="3">
        <v>91</v>
      </c>
      <c r="AF517" s="3">
        <v>92</v>
      </c>
      <c r="AG517" s="3">
        <v>93</v>
      </c>
      <c r="AH517" s="3">
        <v>95</v>
      </c>
      <c r="AI517" s="3">
        <v>96</v>
      </c>
      <c r="AJ517" s="3">
        <v>98</v>
      </c>
      <c r="AK517" s="3">
        <v>99</v>
      </c>
      <c r="AL517" s="3">
        <v>100</v>
      </c>
      <c r="AM517" s="3">
        <v>102</v>
      </c>
      <c r="AN517" s="3">
        <v>103</v>
      </c>
      <c r="AO517" s="3">
        <v>104</v>
      </c>
      <c r="AP517" s="3">
        <v>106</v>
      </c>
      <c r="AQ517" s="3">
        <v>107</v>
      </c>
      <c r="AR517" s="3">
        <v>108</v>
      </c>
      <c r="AS517" s="3">
        <v>110</v>
      </c>
      <c r="AT517" s="3">
        <v>111</v>
      </c>
      <c r="AU517" s="3">
        <v>113</v>
      </c>
      <c r="AV517" s="3">
        <v>114</v>
      </c>
      <c r="AW517" s="3">
        <v>116</v>
      </c>
      <c r="AX517" s="3">
        <v>117</v>
      </c>
      <c r="AY517" s="3">
        <v>118</v>
      </c>
      <c r="AZ517" s="3">
        <v>120</v>
      </c>
      <c r="BA517" s="3">
        <v>122</v>
      </c>
      <c r="BB517" s="3">
        <v>123</v>
      </c>
      <c r="BC517" s="3">
        <v>124</v>
      </c>
      <c r="BD517" s="3">
        <v>125</v>
      </c>
      <c r="BE517" s="3">
        <v>127</v>
      </c>
      <c r="BF517" s="3">
        <v>128</v>
      </c>
      <c r="BG517" s="3">
        <v>130</v>
      </c>
      <c r="BH517" s="3">
        <v>131</v>
      </c>
      <c r="BI517" s="3">
        <v>133</v>
      </c>
      <c r="BJ517" s="3">
        <v>134</v>
      </c>
      <c r="BK517" s="3">
        <v>136</v>
      </c>
      <c r="BL517" s="3">
        <v>137</v>
      </c>
      <c r="BM517" s="3">
        <v>139</v>
      </c>
      <c r="BN517" s="3">
        <v>140</v>
      </c>
      <c r="BO517" s="3">
        <v>141</v>
      </c>
      <c r="BP517" s="3">
        <v>143</v>
      </c>
      <c r="BQ517" s="3">
        <v>144</v>
      </c>
      <c r="BR517" s="3">
        <v>146</v>
      </c>
      <c r="BS517" s="3">
        <v>147</v>
      </c>
      <c r="BT517" s="3">
        <v>149</v>
      </c>
      <c r="BU517" s="3">
        <v>150</v>
      </c>
    </row>
    <row r="518" spans="1:11" ht="15" customHeight="1" hidden="1">
      <c r="A518" s="3" t="s">
        <v>212</v>
      </c>
      <c r="B518" s="3">
        <v>0</v>
      </c>
      <c r="C518" s="3">
        <v>1</v>
      </c>
      <c r="D518" s="3">
        <v>2</v>
      </c>
      <c r="E518" s="3">
        <v>3</v>
      </c>
      <c r="F518" s="3">
        <v>4</v>
      </c>
      <c r="G518" s="3">
        <v>5</v>
      </c>
      <c r="H518" s="3">
        <v>6</v>
      </c>
      <c r="I518" s="3">
        <v>7</v>
      </c>
      <c r="J518" s="3">
        <v>8</v>
      </c>
      <c r="K518" s="3">
        <v>9</v>
      </c>
    </row>
    <row r="519" spans="1:11" ht="15" customHeight="1" hidden="1">
      <c r="A519" s="3" t="s">
        <v>213</v>
      </c>
      <c r="B519" s="3">
        <v>100</v>
      </c>
      <c r="C519" s="3">
        <v>100</v>
      </c>
      <c r="D519" s="3">
        <v>100</v>
      </c>
      <c r="E519" s="3">
        <v>100</v>
      </c>
      <c r="F519" s="3">
        <v>99</v>
      </c>
      <c r="G519" s="3">
        <v>83</v>
      </c>
      <c r="H519" s="3">
        <v>58</v>
      </c>
      <c r="I519" s="3">
        <v>31</v>
      </c>
      <c r="J519" s="3">
        <v>8</v>
      </c>
      <c r="K519" s="3">
        <v>2</v>
      </c>
    </row>
    <row r="520" spans="1:11" ht="15" customHeight="1" hidden="1">
      <c r="A520" s="3" t="s">
        <v>214</v>
      </c>
      <c r="B520" s="3">
        <v>100</v>
      </c>
      <c r="C520" s="3">
        <v>100</v>
      </c>
      <c r="D520" s="3">
        <v>99</v>
      </c>
      <c r="E520" s="3">
        <v>91</v>
      </c>
      <c r="F520" s="3">
        <v>61</v>
      </c>
      <c r="G520" s="3">
        <v>31</v>
      </c>
      <c r="H520" s="3">
        <v>14</v>
      </c>
      <c r="I520" s="3">
        <v>5</v>
      </c>
      <c r="J520" s="3">
        <v>2</v>
      </c>
      <c r="K520" s="3">
        <v>1</v>
      </c>
    </row>
    <row r="521" spans="1:12" ht="15" customHeight="1" hidden="1">
      <c r="A521" s="3" t="s">
        <v>215</v>
      </c>
      <c r="B521" s="3">
        <v>6</v>
      </c>
      <c r="C521" s="3">
        <v>7</v>
      </c>
      <c r="D521" s="3">
        <v>8</v>
      </c>
      <c r="E521" s="3">
        <v>9</v>
      </c>
      <c r="F521" s="3">
        <v>10</v>
      </c>
      <c r="G521" s="3">
        <v>11</v>
      </c>
      <c r="H521" s="3">
        <v>12</v>
      </c>
      <c r="I521" s="3">
        <v>13</v>
      </c>
      <c r="J521" s="3">
        <v>14</v>
      </c>
      <c r="K521" s="3">
        <v>15</v>
      </c>
      <c r="L521" s="3">
        <v>16</v>
      </c>
    </row>
    <row r="522" spans="1:12" ht="15" customHeight="1" hidden="1">
      <c r="A522" s="3" t="s">
        <v>216</v>
      </c>
      <c r="B522" s="3">
        <v>5</v>
      </c>
      <c r="C522" s="3">
        <v>5</v>
      </c>
      <c r="D522" s="3">
        <v>5</v>
      </c>
      <c r="E522" s="3">
        <v>6</v>
      </c>
      <c r="F522" s="3">
        <v>6</v>
      </c>
      <c r="G522" s="3">
        <v>6</v>
      </c>
      <c r="H522" s="3">
        <v>6</v>
      </c>
      <c r="I522" s="3">
        <v>6</v>
      </c>
      <c r="J522" s="3">
        <v>6</v>
      </c>
      <c r="K522" s="3">
        <v>7</v>
      </c>
      <c r="L522" s="3">
        <v>7</v>
      </c>
    </row>
    <row r="523" spans="1:12" ht="15" customHeight="1" hidden="1">
      <c r="A523" s="3" t="s">
        <v>217</v>
      </c>
      <c r="B523" s="3">
        <v>3</v>
      </c>
      <c r="C523" s="3">
        <v>3</v>
      </c>
      <c r="D523" s="3">
        <v>3</v>
      </c>
      <c r="E523" s="3">
        <v>4</v>
      </c>
      <c r="F523" s="3">
        <v>4</v>
      </c>
      <c r="G523" s="3">
        <v>4</v>
      </c>
      <c r="H523" s="3">
        <v>4</v>
      </c>
      <c r="I523" s="3">
        <v>4</v>
      </c>
      <c r="J523" s="3">
        <v>5</v>
      </c>
      <c r="K523" s="3">
        <v>5</v>
      </c>
      <c r="L523" s="3">
        <v>5</v>
      </c>
    </row>
    <row r="524" ht="15" customHeight="1" hidden="1"/>
    <row r="525" ht="15" customHeight="1" hidden="1"/>
    <row r="526" ht="11.25" hidden="1"/>
    <row r="527" ht="11.25" hidden="1"/>
  </sheetData>
  <sheetProtection password="8D61" sheet="1" objects="1" scenarios="1" selectLockedCells="1"/>
  <mergeCells count="97">
    <mergeCell ref="G120:H120"/>
    <mergeCell ref="G119:H119"/>
    <mergeCell ref="G116:H116"/>
    <mergeCell ref="G104:H104"/>
    <mergeCell ref="G109:H109"/>
    <mergeCell ref="G90:H90"/>
    <mergeCell ref="G96:H96"/>
    <mergeCell ref="G97:H97"/>
    <mergeCell ref="G98:H98"/>
    <mergeCell ref="A138:A169"/>
    <mergeCell ref="G144:H144"/>
    <mergeCell ref="G133:H133"/>
    <mergeCell ref="G134:H134"/>
    <mergeCell ref="G151:H151"/>
    <mergeCell ref="G94:H94"/>
    <mergeCell ref="G127:H127"/>
    <mergeCell ref="G105:H105"/>
    <mergeCell ref="G118:H118"/>
    <mergeCell ref="G111:H111"/>
    <mergeCell ref="F27:G27"/>
    <mergeCell ref="F19:G19"/>
    <mergeCell ref="G74:H74"/>
    <mergeCell ref="G81:H81"/>
    <mergeCell ref="G102:H102"/>
    <mergeCell ref="G75:H75"/>
    <mergeCell ref="G65:H65"/>
    <mergeCell ref="G72:H72"/>
    <mergeCell ref="G73:H73"/>
    <mergeCell ref="G70:H70"/>
    <mergeCell ref="G79:H79"/>
    <mergeCell ref="G87:H87"/>
    <mergeCell ref="G82:H82"/>
    <mergeCell ref="G160:H160"/>
    <mergeCell ref="G89:H89"/>
    <mergeCell ref="G157:H157"/>
    <mergeCell ref="G145:H145"/>
    <mergeCell ref="G124:H124"/>
    <mergeCell ref="G126:H126"/>
    <mergeCell ref="G152:H152"/>
    <mergeCell ref="F36:G36"/>
    <mergeCell ref="F37:G37"/>
    <mergeCell ref="F38:G38"/>
    <mergeCell ref="G47:H47"/>
    <mergeCell ref="G62:H62"/>
    <mergeCell ref="F39:G39"/>
    <mergeCell ref="G49:H49"/>
    <mergeCell ref="G55:H55"/>
    <mergeCell ref="G178:H178"/>
    <mergeCell ref="G179:H179"/>
    <mergeCell ref="G180:H180"/>
    <mergeCell ref="F32:G32"/>
    <mergeCell ref="F33:G33"/>
    <mergeCell ref="F34:G34"/>
    <mergeCell ref="G169:H169"/>
    <mergeCell ref="G168:H168"/>
    <mergeCell ref="G112:H112"/>
    <mergeCell ref="G48:H48"/>
    <mergeCell ref="G183:H183"/>
    <mergeCell ref="G182:H182"/>
    <mergeCell ref="F29:G29"/>
    <mergeCell ref="F30:G30"/>
    <mergeCell ref="F31:G31"/>
    <mergeCell ref="G181:H181"/>
    <mergeCell ref="G175:H175"/>
    <mergeCell ref="G176:H176"/>
    <mergeCell ref="G177:H177"/>
    <mergeCell ref="G53:H53"/>
    <mergeCell ref="A70:A90"/>
    <mergeCell ref="A94:A112"/>
    <mergeCell ref="A116:A134"/>
    <mergeCell ref="F20:G20"/>
    <mergeCell ref="F21:G21"/>
    <mergeCell ref="F23:G23"/>
    <mergeCell ref="A45:A65"/>
    <mergeCell ref="F25:G25"/>
    <mergeCell ref="F26:G26"/>
    <mergeCell ref="G45:H45"/>
    <mergeCell ref="G153:H153"/>
    <mergeCell ref="B3:F3"/>
    <mergeCell ref="F17:G17"/>
    <mergeCell ref="F18:G18"/>
    <mergeCell ref="H18:I18"/>
    <mergeCell ref="B6:K6"/>
    <mergeCell ref="H17:I17"/>
    <mergeCell ref="K18:L24"/>
    <mergeCell ref="G56:H56"/>
    <mergeCell ref="G64:H64"/>
    <mergeCell ref="G161:H161"/>
    <mergeCell ref="F40:G40"/>
    <mergeCell ref="G165:H165"/>
    <mergeCell ref="G173:H173"/>
    <mergeCell ref="G131:H131"/>
    <mergeCell ref="G138:H138"/>
    <mergeCell ref="G142:H142"/>
    <mergeCell ref="G149:H149"/>
    <mergeCell ref="G167:H167"/>
    <mergeCell ref="G159:H159"/>
  </mergeCells>
  <printOptions horizontalCentered="1" verticalCentered="1"/>
  <pageMargins left="0" right="0" top="0" bottom="0" header="0.5" footer="0.5"/>
  <pageSetup horizontalDpi="300" verticalDpi="300" orientation="landscape" r:id="rId3"/>
  <headerFooter alignWithMargins="0">
    <oddHeader>&amp;C&amp;"Geneva,Bold"&amp;18WJ III™   Computer Template © 2001</oddHeader>
    <oddFooter>&amp;L&amp;8Woodcock-Johnson III by Richard W. Woodcock, Kevin S. McGrew, and Nancy Mather © Riverside Publishing, 2001.
All rights Reserved&amp;R&amp;8Page &amp;P
Template created by Ron Dumont and John Willis</oddFooter>
  </headerFooter>
  <rowBreaks count="3" manualBreakCount="3">
    <brk id="42" max="255" man="1"/>
    <brk id="92" max="11" man="1"/>
    <brk id="136"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Dumont</dc:creator>
  <cp:keywords/>
  <dc:description/>
  <cp:lastModifiedBy>guymmcbride@gmail.com</cp:lastModifiedBy>
  <cp:lastPrinted>2010-10-10T23:51:48Z</cp:lastPrinted>
  <dcterms:created xsi:type="dcterms:W3CDTF">1999-10-20T15:23:28Z</dcterms:created>
  <dcterms:modified xsi:type="dcterms:W3CDTF">2014-05-06T20:24:39Z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452997559</vt:i4>
  </property>
  <property fmtid="{D5CDD505-2E9C-101B-9397-08002B2CF9AE}" pid="3" name="_EmailSubject">
    <vt:lpwstr>excel2</vt:lpwstr>
  </property>
  <property fmtid="{D5CDD505-2E9C-101B-9397-08002B2CF9AE}" pid="4" name="_AuthorEmail">
    <vt:lpwstr>dumont@fdu.edu</vt:lpwstr>
  </property>
  <property fmtid="{D5CDD505-2E9C-101B-9397-08002B2CF9AE}" pid="5" name="_AuthorEmailDisplayName">
    <vt:lpwstr>Ron Dumont</vt:lpwstr>
  </property>
  <property fmtid="{D5CDD505-2E9C-101B-9397-08002B2CF9AE}" pid="6" name="_ReviewingToolsShownOnce">
    <vt:lpwstr/>
  </property>
</Properties>
</file>